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omers\OneDrive\Masaüstü\"/>
    </mc:Choice>
  </mc:AlternateContent>
  <xr:revisionPtr revIDLastSave="0" documentId="13_ncr:1_{A10E55A7-4E8B-47F0-8BB2-B3C06B0F1C7A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inancial Highlights" sheetId="5" r:id="rId1"/>
    <sheet name="Balance Sheet" sheetId="2" r:id="rId2"/>
    <sheet name="Income Statement" sheetId="3" r:id="rId3"/>
    <sheet name="Rati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9" i="4" l="1"/>
  <c r="G93" i="4"/>
  <c r="G33" i="4"/>
  <c r="G91" i="4"/>
  <c r="G85" i="4"/>
  <c r="G106" i="4"/>
  <c r="G57" i="4"/>
  <c r="G37" i="4"/>
  <c r="G35" i="4"/>
  <c r="G15" i="4"/>
  <c r="G110" i="4"/>
  <c r="G108" i="4"/>
  <c r="T5" i="3"/>
  <c r="T4" i="3"/>
  <c r="T8" i="3"/>
  <c r="T7" i="3"/>
  <c r="V9" i="2"/>
  <c r="V8" i="2"/>
  <c r="V6" i="2"/>
  <c r="V5" i="2"/>
  <c r="G31" i="4" l="1"/>
  <c r="G27" i="4"/>
  <c r="G25" i="4"/>
  <c r="G23" i="4"/>
  <c r="G101" i="4"/>
  <c r="G99" i="4"/>
  <c r="G83" i="4"/>
  <c r="G68" i="4"/>
  <c r="G50" i="4"/>
  <c r="G44" i="4"/>
  <c r="G48" i="4"/>
  <c r="G52" i="4"/>
  <c r="G46" i="4"/>
  <c r="G42" i="4"/>
  <c r="G29" i="4"/>
  <c r="G21" i="4"/>
  <c r="G19" i="4"/>
  <c r="G13" i="4" l="1"/>
  <c r="G11" i="4"/>
  <c r="G9" i="4"/>
  <c r="N7" i="3" l="1"/>
  <c r="N8" i="3"/>
  <c r="N9" i="3"/>
  <c r="N10" i="3"/>
  <c r="N11" i="3"/>
  <c r="N12" i="3"/>
  <c r="N13" i="3"/>
  <c r="N14" i="3"/>
  <c r="N15" i="3"/>
  <c r="N16" i="3"/>
  <c r="N17" i="3"/>
  <c r="N20" i="3"/>
  <c r="N22" i="3"/>
  <c r="N24" i="3"/>
  <c r="N26" i="3"/>
  <c r="N27" i="3"/>
  <c r="N28" i="3"/>
  <c r="N30" i="3"/>
  <c r="N6" i="3"/>
  <c r="P7" i="3"/>
  <c r="P8" i="3"/>
  <c r="P9" i="3"/>
  <c r="P10" i="3"/>
  <c r="P11" i="3"/>
  <c r="P12" i="3"/>
  <c r="P13" i="3"/>
  <c r="P14" i="3"/>
  <c r="P15" i="3"/>
  <c r="P16" i="3"/>
  <c r="P17" i="3"/>
  <c r="P20" i="3"/>
  <c r="P22" i="3"/>
  <c r="P24" i="3"/>
  <c r="P26" i="3"/>
  <c r="P27" i="3"/>
  <c r="P28" i="3"/>
  <c r="P30" i="3"/>
  <c r="P6" i="3"/>
  <c r="O7" i="3"/>
  <c r="O8" i="3"/>
  <c r="O9" i="3"/>
  <c r="O10" i="3"/>
  <c r="O11" i="3"/>
  <c r="O12" i="3"/>
  <c r="O13" i="3"/>
  <c r="O14" i="3"/>
  <c r="O15" i="3"/>
  <c r="O16" i="3"/>
  <c r="O17" i="3"/>
  <c r="O20" i="3"/>
  <c r="O22" i="3"/>
  <c r="O24" i="3"/>
  <c r="O26" i="3"/>
  <c r="O27" i="3"/>
  <c r="O28" i="3"/>
  <c r="O30" i="3"/>
  <c r="O6" i="3"/>
  <c r="P9" i="2"/>
  <c r="P10" i="2"/>
  <c r="P11" i="2"/>
  <c r="P12" i="2"/>
  <c r="P13" i="2"/>
  <c r="P14" i="2"/>
  <c r="P16" i="2"/>
  <c r="P17" i="2"/>
  <c r="P18" i="2"/>
  <c r="P19" i="2"/>
  <c r="P21" i="2"/>
  <c r="P22" i="2"/>
  <c r="P25" i="2"/>
  <c r="P27" i="2"/>
  <c r="P29" i="2"/>
  <c r="P30" i="2"/>
  <c r="P31" i="2"/>
  <c r="P33" i="2"/>
  <c r="P35" i="2"/>
  <c r="P36" i="2"/>
  <c r="P37" i="2"/>
  <c r="P40" i="2"/>
  <c r="P41" i="2"/>
  <c r="P42" i="2"/>
  <c r="P45" i="2"/>
  <c r="P46" i="2"/>
  <c r="P47" i="2"/>
  <c r="P48" i="2"/>
  <c r="P8" i="2"/>
  <c r="R9" i="2"/>
  <c r="R10" i="2"/>
  <c r="R11" i="2"/>
  <c r="R12" i="2"/>
  <c r="R13" i="2"/>
  <c r="R14" i="2"/>
  <c r="R16" i="2"/>
  <c r="R17" i="2"/>
  <c r="R18" i="2"/>
  <c r="R19" i="2"/>
  <c r="R21" i="2"/>
  <c r="R22" i="2"/>
  <c r="R25" i="2"/>
  <c r="R27" i="2"/>
  <c r="R29" i="2"/>
  <c r="R30" i="2"/>
  <c r="R31" i="2"/>
  <c r="R33" i="2"/>
  <c r="R35" i="2"/>
  <c r="R36" i="2"/>
  <c r="R37" i="2"/>
  <c r="R40" i="2"/>
  <c r="R41" i="2"/>
  <c r="R42" i="2"/>
  <c r="R45" i="2"/>
  <c r="R46" i="2"/>
  <c r="R47" i="2"/>
  <c r="R48" i="2"/>
  <c r="R8" i="2"/>
  <c r="Q9" i="2"/>
  <c r="Q10" i="2"/>
  <c r="Q11" i="2"/>
  <c r="Q12" i="2"/>
  <c r="Q13" i="2"/>
  <c r="Q14" i="2"/>
  <c r="Q16" i="2"/>
  <c r="Q17" i="2"/>
  <c r="Q18" i="2"/>
  <c r="Q19" i="2"/>
  <c r="Q21" i="2"/>
  <c r="Q22" i="2"/>
  <c r="Q25" i="2"/>
  <c r="Q27" i="2"/>
  <c r="Q29" i="2"/>
  <c r="Q30" i="2"/>
  <c r="Q31" i="2"/>
  <c r="Q33" i="2"/>
  <c r="Q35" i="2"/>
  <c r="Q36" i="2"/>
  <c r="Q37" i="2"/>
  <c r="Q40" i="2"/>
  <c r="Q41" i="2"/>
  <c r="Q42" i="2"/>
  <c r="Q45" i="2"/>
  <c r="Q46" i="2"/>
  <c r="Q47" i="2"/>
  <c r="Q48" i="2"/>
  <c r="Q8" i="2"/>
  <c r="C7" i="3"/>
  <c r="I8" i="3" s="1"/>
  <c r="D7" i="3"/>
  <c r="J8" i="3" s="1"/>
  <c r="E7" i="3"/>
  <c r="K9" i="3" s="1"/>
  <c r="B7" i="3"/>
  <c r="H6" i="3" s="1"/>
  <c r="K23" i="3"/>
  <c r="J9" i="3"/>
  <c r="J10" i="3"/>
  <c r="J11" i="3"/>
  <c r="J12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6" i="3"/>
  <c r="J7" i="3"/>
  <c r="I9" i="3"/>
  <c r="I14" i="3"/>
  <c r="I19" i="3"/>
  <c r="I23" i="3"/>
  <c r="I27" i="3"/>
  <c r="I7" i="3"/>
  <c r="E17" i="3"/>
  <c r="D17" i="3"/>
  <c r="J17" i="3" s="1"/>
  <c r="E13" i="3"/>
  <c r="D13" i="3"/>
  <c r="J13" i="3" s="1"/>
  <c r="C13" i="3"/>
  <c r="B13" i="3"/>
  <c r="H13" i="3" s="1"/>
  <c r="C17" i="3"/>
  <c r="B1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7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8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9" i="2"/>
  <c r="L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8" i="2"/>
  <c r="B46" i="2"/>
  <c r="E45" i="2"/>
  <c r="D45" i="2"/>
  <c r="E14" i="2"/>
  <c r="D14" i="2"/>
  <c r="C14" i="2"/>
  <c r="B14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8" i="2"/>
  <c r="J9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7" i="2"/>
  <c r="I17" i="3" l="1"/>
  <c r="I30" i="3"/>
  <c r="I26" i="3"/>
  <c r="I22" i="3"/>
  <c r="I18" i="3"/>
  <c r="I12" i="3"/>
  <c r="I6" i="3"/>
  <c r="I29" i="3"/>
  <c r="I21" i="3"/>
  <c r="I11" i="3"/>
  <c r="I25" i="3"/>
  <c r="I16" i="3"/>
  <c r="I13" i="3"/>
  <c r="I28" i="3"/>
  <c r="I24" i="3"/>
  <c r="I20" i="3"/>
  <c r="I15" i="3"/>
  <c r="I10" i="3"/>
  <c r="H23" i="3"/>
  <c r="K7" i="3"/>
  <c r="K16" i="3"/>
  <c r="K6" i="3"/>
  <c r="K15" i="3"/>
  <c r="K17" i="3"/>
  <c r="K24" i="3"/>
  <c r="K8" i="3"/>
  <c r="H19" i="3"/>
  <c r="H17" i="3"/>
  <c r="H7" i="3"/>
  <c r="H15" i="3"/>
  <c r="K28" i="3"/>
  <c r="K20" i="3"/>
  <c r="K12" i="3"/>
  <c r="K13" i="3"/>
  <c r="H27" i="3"/>
  <c r="H11" i="3"/>
  <c r="K27" i="3"/>
  <c r="K19" i="3"/>
  <c r="K11" i="3"/>
  <c r="H8" i="3"/>
  <c r="H22" i="3"/>
  <c r="H14" i="3"/>
  <c r="H29" i="3"/>
  <c r="H25" i="3"/>
  <c r="H21" i="3"/>
  <c r="H9" i="3"/>
  <c r="K30" i="3"/>
  <c r="K26" i="3"/>
  <c r="K22" i="3"/>
  <c r="K18" i="3"/>
  <c r="K14" i="3"/>
  <c r="K10" i="3"/>
  <c r="H30" i="3"/>
  <c r="H26" i="3"/>
  <c r="H18" i="3"/>
  <c r="H10" i="3"/>
  <c r="H28" i="3"/>
  <c r="H24" i="3"/>
  <c r="H20" i="3"/>
  <c r="H16" i="3"/>
  <c r="H12" i="3"/>
  <c r="K29" i="3"/>
  <c r="K25" i="3"/>
  <c r="K21" i="3"/>
</calcChain>
</file>

<file path=xl/sharedStrings.xml><?xml version="1.0" encoding="utf-8"?>
<sst xmlns="http://schemas.openxmlformats.org/spreadsheetml/2006/main" count="300" uniqueCount="232">
  <si>
    <t>Total Assets</t>
  </si>
  <si>
    <t>Cash &amp; Due from Banks</t>
  </si>
  <si>
    <t>Other Earning Assets, Total</t>
  </si>
  <si>
    <t>Net Loans</t>
  </si>
  <si>
    <t>Accumulated Depreciation, Total</t>
  </si>
  <si>
    <t>Goodwill, Net</t>
  </si>
  <si>
    <t>Intangibles, Net</t>
  </si>
  <si>
    <t>Long Term Investments</t>
  </si>
  <si>
    <t>Other Long Term Assets, Total</t>
  </si>
  <si>
    <t>Other Assets, Total</t>
  </si>
  <si>
    <t>Total Current Liabilities</t>
  </si>
  <si>
    <t>Period Ending:</t>
  </si>
  <si>
    <t>Total Current Assets</t>
  </si>
  <si>
    <t>Total Liabilities</t>
  </si>
  <si>
    <t>Accounts Payable</t>
  </si>
  <si>
    <t>Payable/Accrued</t>
  </si>
  <si>
    <t>Accrued Expenses</t>
  </si>
  <si>
    <t>Total Deposits</t>
  </si>
  <si>
    <t>Other Bearing Liabilities, Total</t>
  </si>
  <si>
    <t>Total Short Term Borrowings</t>
  </si>
  <si>
    <t>Other Current liabilities, Total</t>
  </si>
  <si>
    <t>Total Long Term Debt</t>
  </si>
  <si>
    <t>Long Term Debt</t>
  </si>
  <si>
    <t>Capital Lease Obligations</t>
  </si>
  <si>
    <t>Total Debt</t>
  </si>
  <si>
    <t>Deferred Income Tax</t>
  </si>
  <si>
    <t>Minority Interest</t>
  </si>
  <si>
    <t>Other Liabilities, Total</t>
  </si>
  <si>
    <t>Total Equity</t>
  </si>
  <si>
    <t>Redeemable Preferred Stock, Total</t>
  </si>
  <si>
    <t>Common Stock, Total</t>
  </si>
  <si>
    <t>Retained Earnings (Accumulated Deficit)</t>
  </si>
  <si>
    <t>ESOP Debt Guarantee</t>
  </si>
  <si>
    <t>Unrealized Gain (Loss)</t>
  </si>
  <si>
    <t>Other Equity, Total</t>
  </si>
  <si>
    <t>Total Liabilities &amp; Shareholders' Equity</t>
  </si>
  <si>
    <t>Total Common Shares Outstanding</t>
  </si>
  <si>
    <t>Total Preferred Shares Outstanding</t>
  </si>
  <si>
    <t>* In Millions of TRY (except for per share items)</t>
  </si>
  <si>
    <t>Current Port, of LT Debt/Capital Leases</t>
  </si>
  <si>
    <t>Balance Sheet</t>
  </si>
  <si>
    <t>Vertical Analysis</t>
  </si>
  <si>
    <t>Property/Plant/Equipment, Total 0 Net</t>
  </si>
  <si>
    <t>Property/Plant/Equipment, Total 0 Gross</t>
  </si>
  <si>
    <t>Preferred Stock 0 Non Redeemable, Net</t>
  </si>
  <si>
    <t>Additional Paid0In Capital</t>
  </si>
  <si>
    <t>Treasury Stock 0 Common</t>
  </si>
  <si>
    <t>Horizontal Analysis</t>
  </si>
  <si>
    <t>Net Interest Income</t>
  </si>
  <si>
    <t>Interest Income, Bank</t>
  </si>
  <si>
    <t>Total Interest Expense</t>
  </si>
  <si>
    <t>Loan Loss Provision</t>
  </si>
  <si>
    <t>Net Interest Income After Loan Loss Provision</t>
  </si>
  <si>
    <t>Non-Interest Income, Bank</t>
  </si>
  <si>
    <t>Non-Interest Expense, Bank</t>
  </si>
  <si>
    <t>Net Income Before Taxes</t>
  </si>
  <si>
    <t>Provision for Income Taxes</t>
  </si>
  <si>
    <t>Net Income After Taxes</t>
  </si>
  <si>
    <t>Equity In Affiliates</t>
  </si>
  <si>
    <t>Net Income Before Extraordinary Items</t>
  </si>
  <si>
    <t>Total Extraordinary Items</t>
  </si>
  <si>
    <t>Net Income</t>
  </si>
  <si>
    <t>Total Adjustments to Net Income</t>
  </si>
  <si>
    <t>Income Available to Common Excluding Extraordinary Items</t>
  </si>
  <si>
    <t>Dilution Adjustment</t>
  </si>
  <si>
    <t>Diluted Net Income</t>
  </si>
  <si>
    <t>Diluted Weighted Average Shares</t>
  </si>
  <si>
    <t>Diluted EPS Excluding Extraordinary Items</t>
  </si>
  <si>
    <t>Diluted Normalized EPS</t>
  </si>
  <si>
    <t>U,S GAAP Adjustment</t>
  </si>
  <si>
    <t>Income Statement</t>
  </si>
  <si>
    <t>DPS 0 Common Stock Primary Issue</t>
  </si>
  <si>
    <t>Total Interest Income</t>
  </si>
  <si>
    <t>Horizontal  Analysis</t>
  </si>
  <si>
    <t>I. Earnings and Efficiency Profitability Ratios</t>
  </si>
  <si>
    <t>Return on Asset (ROA)</t>
  </si>
  <si>
    <t>Net Income / Total Average Assets</t>
    <phoneticPr fontId="0" type="noConversion"/>
  </si>
  <si>
    <t xml:space="preserve">Return on Equity (ROE) </t>
  </si>
  <si>
    <t>Net Income / Total Average Share Holders Equity</t>
    <phoneticPr fontId="0" type="noConversion"/>
  </si>
  <si>
    <t>Income Expense Ratio</t>
  </si>
  <si>
    <t>Total Income / Total Expense</t>
    <phoneticPr fontId="0" type="noConversion"/>
  </si>
  <si>
    <t xml:space="preserve">Avarage Return of Interest Earning Assets </t>
  </si>
  <si>
    <t>Total Interest Income / Total Average Interest Earning Assets</t>
    <phoneticPr fontId="0" type="noConversion"/>
  </si>
  <si>
    <t xml:space="preserve">Avarage Cost of Funds </t>
  </si>
  <si>
    <t>Total Interest Expense / Total Average Interest Bearing Liablities</t>
    <phoneticPr fontId="0" type="noConversion"/>
  </si>
  <si>
    <t>Ratio of Non Interest Income to Non Interest Expense</t>
    <phoneticPr fontId="0" type="noConversion"/>
  </si>
  <si>
    <t>Non Interest Income / Non Interest Expense</t>
    <phoneticPr fontId="0" type="noConversion"/>
  </si>
  <si>
    <t>Break-Even Ratio</t>
  </si>
  <si>
    <t>(Total Expenses - Non Interest Income) / Total Average Interest Earning Assets</t>
    <phoneticPr fontId="0" type="noConversion"/>
  </si>
  <si>
    <t>Ratio of Net Interest Income to Avarage Total Assets</t>
  </si>
  <si>
    <t>Net Interest Income / Total Average Assets</t>
    <phoneticPr fontId="0" type="noConversion"/>
  </si>
  <si>
    <t>Ratio of Total Operating Expenses to Total Income</t>
  </si>
  <si>
    <t>(Total Operating Expense / Total Operating Income)</t>
  </si>
  <si>
    <t>Ratio of Interest Expense to Interest Income</t>
  </si>
  <si>
    <t>Interest Expense / Interest Income</t>
    <phoneticPr fontId="0" type="noConversion"/>
  </si>
  <si>
    <t xml:space="preserve">Percantage of Non-Interest Income in Total Income </t>
  </si>
  <si>
    <t>(Non-Interest Income / Total Income)</t>
  </si>
  <si>
    <t>Operating Expenses required to Manage Assets</t>
  </si>
  <si>
    <t>(Operating Expense / Total Average Assets)</t>
  </si>
  <si>
    <t xml:space="preserve">Interest Profitability of Interest Earning Assets </t>
    <phoneticPr fontId="0" type="noConversion"/>
  </si>
  <si>
    <t>Net Interest Income / Average Total Interest Earning Assets</t>
    <phoneticPr fontId="0" type="noConversion"/>
  </si>
  <si>
    <t>Average Return on Loans</t>
  </si>
  <si>
    <t>(Interest Income on Loans / Average Total Loans)</t>
  </si>
  <si>
    <t>Efficiency Ratios</t>
  </si>
  <si>
    <t>Non Interest Expense  /( Interest Income - Interest Expense + Non Interest Income)</t>
    <phoneticPr fontId="0" type="noConversion"/>
  </si>
  <si>
    <t xml:space="preserve">Net Free Funds Ratio  </t>
  </si>
  <si>
    <t>(Non Interest Bearing Liabilities - Non Interest Earning Assets / Average Interest Earning Assets)</t>
    <phoneticPr fontId="0" type="noConversion"/>
  </si>
  <si>
    <t>Interest Rate Sensitivity Gap</t>
  </si>
  <si>
    <t>Interest Rate Sensitive Assets ( minus ) Interest Rate Sensitive Liabilities</t>
  </si>
  <si>
    <t>Interest Rate Sensitivity Gap Ratio :</t>
  </si>
  <si>
    <t>Interest Rate Sensitive Assets / Interest Rate Sensitive Liabilities</t>
  </si>
  <si>
    <t>II. Capital Adequacy Ratios</t>
  </si>
  <si>
    <t>Financial Leverage</t>
  </si>
  <si>
    <t>Total Assets / Total Share Holders Equity</t>
    <phoneticPr fontId="0" type="noConversion"/>
  </si>
  <si>
    <t xml:space="preserve">Ratio of Non-Interest Investments financed by SHEQ </t>
  </si>
  <si>
    <t>(Equity Participations + Fixed Assets) / SHEQ</t>
    <phoneticPr fontId="0" type="noConversion"/>
  </si>
  <si>
    <t>The Ratio of Foreign Exchange Position to SHEQ</t>
  </si>
  <si>
    <t>(Foreign Currecy Assets - Foreign Currency Liabilities) / SHEQ</t>
    <phoneticPr fontId="0" type="noConversion"/>
  </si>
  <si>
    <t>Ratio of SHEQ to Total Risks</t>
  </si>
  <si>
    <t>SHEQ / (Total Assets+Total Contingent Liabilities and Commitments)</t>
    <phoneticPr fontId="0" type="noConversion"/>
  </si>
  <si>
    <t xml:space="preserve">Ratio of Net Free-Funds to Total Assets </t>
  </si>
  <si>
    <t>(SHEQ-(Equity Participations+Fixed Assets)) / Total Assets</t>
    <phoneticPr fontId="0" type="noConversion"/>
  </si>
  <si>
    <t>Ratio of SHEQ as a Percantage of Total Assets</t>
  </si>
  <si>
    <t>SHEQ / Total Assets</t>
    <phoneticPr fontId="0" type="noConversion"/>
  </si>
  <si>
    <t xml:space="preserve">Ratio of SHEQ to Risk Weighted Assets and </t>
  </si>
  <si>
    <t>Contingent Liabilites and Commitments</t>
  </si>
  <si>
    <t>SHEQ / (Risk Weighted Assets + Risk Weighted Contingent Liabilites and Commitments)</t>
    <phoneticPr fontId="0" type="noConversion"/>
  </si>
  <si>
    <t xml:space="preserve">Debt to Equity Ratio </t>
  </si>
  <si>
    <t>Total Debt / SHEQ</t>
    <phoneticPr fontId="0" type="noConversion"/>
  </si>
  <si>
    <t>Capital Formation Rate</t>
  </si>
  <si>
    <t>(Net Income - Dividends to be paid) / Average SHEQ</t>
    <phoneticPr fontId="0" type="noConversion"/>
  </si>
  <si>
    <t>III. Liquidity Ratios</t>
  </si>
  <si>
    <t>Deposit to Loan Ratio</t>
  </si>
  <si>
    <t>Total Loans / Total Deposits</t>
    <phoneticPr fontId="0" type="noConversion"/>
  </si>
  <si>
    <t>Liquid Assets as a percentage of Deposits and Borrowings</t>
  </si>
  <si>
    <t>Liquid Assets / (Total Deposits + Total Borrowings)</t>
    <phoneticPr fontId="0" type="noConversion"/>
  </si>
  <si>
    <t xml:space="preserve">Ratio of Foreign Currency Assets to Foreign Currency Liabilities </t>
  </si>
  <si>
    <t>Foreign Currency Assets / Foreign Currency Liabilities</t>
    <phoneticPr fontId="0" type="noConversion"/>
  </si>
  <si>
    <t xml:space="preserve">Percentage of Liquid Assets in Total Assets </t>
  </si>
  <si>
    <t>Liquid Assets / Total Assets</t>
    <phoneticPr fontId="0" type="noConversion"/>
  </si>
  <si>
    <t xml:space="preserve">Liquidity Position for a Specific Period </t>
  </si>
  <si>
    <t>(Assets Due for a specific Period / Liabilities Due for the same Period)</t>
    <phoneticPr fontId="0" type="noConversion"/>
  </si>
  <si>
    <t>Volatile Deposits Ratio</t>
  </si>
  <si>
    <t>Large Volatile  Deposits / Total Deposits</t>
    <phoneticPr fontId="0" type="noConversion"/>
  </si>
  <si>
    <t>Percentage of Interest Earning Assets Funded by Core Assets</t>
  </si>
  <si>
    <t>Core Deposits / Interest Earning Assets</t>
    <phoneticPr fontId="0" type="noConversion"/>
  </si>
  <si>
    <t>IV. Asset Quality Ratios</t>
  </si>
  <si>
    <t>Percentage of Loans in Total Assets</t>
  </si>
  <si>
    <t>Total Loans / Total Assets</t>
    <phoneticPr fontId="0" type="noConversion"/>
  </si>
  <si>
    <t>Ratio of Interest Earning Assets to Total Assets</t>
  </si>
  <si>
    <t>Interest Earning Assets / Total Assets</t>
    <phoneticPr fontId="0" type="noConversion"/>
  </si>
  <si>
    <t>Ratio of Contingent Liabilites and Commitments</t>
  </si>
  <si>
    <t>Total Contingent Liabilites and Commitments / Total Assets</t>
    <phoneticPr fontId="0" type="noConversion"/>
  </si>
  <si>
    <t>Percentage of Non-Performing Loans in Total Loans</t>
  </si>
  <si>
    <t>Non-Performing /  Total Loans</t>
    <phoneticPr fontId="0" type="noConversion"/>
  </si>
  <si>
    <t>Non-Performing Loan Reserve Ratio</t>
  </si>
  <si>
    <t>Specific Loan Reserves / Non-Performing Loans</t>
    <phoneticPr fontId="0" type="noConversion"/>
  </si>
  <si>
    <t>Ratio of Non-Interest Earning Assets in Total Assets</t>
  </si>
  <si>
    <t>(Equity Participations+Fixed Assets+Other Non-Interest Earning Assets) / Total Assets</t>
    <phoneticPr fontId="0" type="noConversion"/>
  </si>
  <si>
    <t xml:space="preserve">Interest Earning Assets Funded by Net Free Funds </t>
  </si>
  <si>
    <t xml:space="preserve">(Non Interest Bearing Liabilities-Non Interest Earning Assets) / Interest Earning Assets </t>
    <phoneticPr fontId="0" type="noConversion"/>
  </si>
  <si>
    <t>Ratio of Loan Losses Expense to Total Loans</t>
  </si>
  <si>
    <t>Non Performing Loans Provision expense /  Average Loans</t>
    <phoneticPr fontId="0" type="noConversion"/>
  </si>
  <si>
    <t xml:space="preserve">Percentage of Loans Written off  </t>
  </si>
  <si>
    <t>Net Charge-Offs /  Average Loans</t>
    <phoneticPr fontId="0" type="noConversion"/>
  </si>
  <si>
    <t>Ratio of Non-Interest Earning Assets to Total Assets</t>
  </si>
  <si>
    <t>Non-Interest Earning Assets / Total Assets</t>
    <phoneticPr fontId="0" type="noConversion"/>
  </si>
  <si>
    <t xml:space="preserve">Loan Concentration Risk Ratio </t>
  </si>
  <si>
    <t>Total Big Loans / Total Loans</t>
    <phoneticPr fontId="0" type="noConversion"/>
  </si>
  <si>
    <t>18.84%</t>
  </si>
  <si>
    <t>1.63%</t>
  </si>
  <si>
    <t>Financial Highlights</t>
  </si>
  <si>
    <t>Fiscal Year</t>
  </si>
  <si>
    <t>Fiscal Year Ends</t>
  </si>
  <si>
    <t>Dec 31, 2018</t>
  </si>
  <si>
    <t>Most Recent Quarter (mrq)</t>
  </si>
  <si>
    <t>Jun 30, 2019</t>
  </si>
  <si>
    <t>Profitability</t>
  </si>
  <si>
    <t>Profit Margin</t>
  </si>
  <si>
    <t>38.87%</t>
  </si>
  <si>
    <t>Operating Margin (ttm)</t>
  </si>
  <si>
    <t>46.38%</t>
  </si>
  <si>
    <t>Management Effectiveness</t>
  </si>
  <si>
    <t>Return on Assets (ttm)</t>
  </si>
  <si>
    <t>Return on Equity (ttm)</t>
  </si>
  <si>
    <t>18.83%</t>
  </si>
  <si>
    <t>Revenue (ttm)</t>
  </si>
  <si>
    <t>6.99B</t>
  </si>
  <si>
    <t>Revenue Per Share (ttm)</t>
  </si>
  <si>
    <t>Quarterly Revenue Growth (yoy)</t>
  </si>
  <si>
    <t>1.60%</t>
  </si>
  <si>
    <t>Gross Profit (ttm)</t>
  </si>
  <si>
    <t>6.57B</t>
  </si>
  <si>
    <t>EBITDA</t>
  </si>
  <si>
    <t>N/A</t>
  </si>
  <si>
    <t>Net Income Avi to Common (ttm)</t>
  </si>
  <si>
    <t>2.72B</t>
  </si>
  <si>
    <t>Diluted EPS (ttm)</t>
  </si>
  <si>
    <t>0.81</t>
  </si>
  <si>
    <t>Quarterly Earnings Growth (yoy)</t>
  </si>
  <si>
    <t>8.90%</t>
  </si>
  <si>
    <t>Total Cash (mrq)</t>
  </si>
  <si>
    <t>31.09B</t>
  </si>
  <si>
    <t>Total Cash Per Share (mrq)</t>
  </si>
  <si>
    <t>Total Debt (mrq)</t>
  </si>
  <si>
    <t>55.76B</t>
  </si>
  <si>
    <t>Total Debt/Equity (mrq)</t>
  </si>
  <si>
    <t>Current Ratio (mrq)</t>
  </si>
  <si>
    <t>Book Value Per Share (mrq)</t>
  </si>
  <si>
    <t>Cash Flow Statement</t>
  </si>
  <si>
    <t>Operating Cash Flow (ttm)</t>
  </si>
  <si>
    <t>4.85B</t>
  </si>
  <si>
    <t>Levered Free Cash Flow (ttm)</t>
  </si>
  <si>
    <t>V. Off Balance Sheet Ratios</t>
  </si>
  <si>
    <t>Contingent Liabilites to Loans Ratio</t>
  </si>
  <si>
    <t>Total Contingent Liabilities &amp; Commitments / Total Loans</t>
  </si>
  <si>
    <t xml:space="preserve">Contingent Liabilites to Assets Ratio </t>
  </si>
  <si>
    <t>Total Contingent Liabilites &amp; Commitments/ Total Assets</t>
  </si>
  <si>
    <t xml:space="preserve">Return on Contingent Liabilites </t>
  </si>
  <si>
    <t>Commission Income on Contingent Liabilites &amp; Commitments / Average Contingent Liabilites &amp; Commitments</t>
  </si>
  <si>
    <t>Ratios</t>
  </si>
  <si>
    <t>1.09B</t>
  </si>
  <si>
    <t>2.09B</t>
  </si>
  <si>
    <t>J9</t>
  </si>
  <si>
    <t>Sample Formulas</t>
  </si>
  <si>
    <t>K9</t>
  </si>
  <si>
    <t>P9</t>
  </si>
  <si>
    <t>Q9</t>
  </si>
  <si>
    <t>H8</t>
  </si>
  <si>
    <t>I8</t>
  </si>
  <si>
    <t>N8</t>
  </si>
  <si>
    <t>O8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</si>
</sst>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İnherit"/>
    </font>
    <font>
      <sz val="11"/>
      <color theme="1"/>
      <name val="Arial"/>
      <family val="2"/>
      <charset val="162"/>
    </font>
    <font>
      <b/>
      <sz val="11"/>
      <color rgb="FF333333"/>
      <name val="İnherit"/>
    </font>
    <font>
      <sz val="8"/>
      <color rgb="FF808080"/>
      <name val="Arial"/>
      <family val="2"/>
      <charset val="162"/>
    </font>
    <font>
      <sz val="8"/>
      <color rgb="FF333333"/>
      <name val="Arial"/>
      <family val="2"/>
      <charset val="162"/>
    </font>
    <font>
      <b/>
      <sz val="11"/>
      <color theme="1"/>
      <name val="İnherit"/>
    </font>
    <font>
      <b/>
      <sz val="18"/>
      <color theme="0"/>
      <name val="Calibri"/>
      <family val="2"/>
      <charset val="162"/>
      <scheme val="minor"/>
    </font>
    <font>
      <sz val="8"/>
      <color rgb="FF808080"/>
      <name val="Calibri"/>
      <family val="2"/>
      <charset val="162"/>
      <scheme val="minor"/>
    </font>
    <font>
      <b/>
      <sz val="11"/>
      <color rgb="FF333333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0"/>
      <name val="Arial Tur"/>
    </font>
    <font>
      <b/>
      <sz val="12"/>
      <name val="Arial Tur"/>
    </font>
    <font>
      <sz val="8"/>
      <name val="Arial Tur"/>
    </font>
    <font>
      <b/>
      <sz val="10"/>
      <name val="Arial Tur"/>
    </font>
    <font>
      <b/>
      <sz val="12"/>
      <color theme="0"/>
      <name val="Arial Tur"/>
    </font>
    <font>
      <b/>
      <sz val="12"/>
      <color theme="0"/>
      <name val="Arial"/>
      <family val="2"/>
      <charset val="162"/>
    </font>
    <font>
      <b/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DFE9F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rgb="FF999999"/>
      </top>
      <bottom/>
      <diagonal/>
    </border>
    <border>
      <left/>
      <right/>
      <top style="thick">
        <color rgb="FFBABABA"/>
      </top>
      <bottom/>
      <diagonal/>
    </border>
    <border>
      <left/>
      <right/>
      <top style="medium">
        <color rgb="FFDADADA"/>
      </top>
      <bottom/>
      <diagonal/>
    </border>
    <border>
      <left style="medium">
        <color rgb="FFBABABA"/>
      </left>
      <right/>
      <top style="medium">
        <color rgb="FFBABABA"/>
      </top>
      <bottom/>
      <diagonal/>
    </border>
    <border>
      <left/>
      <right/>
      <top style="medium">
        <color rgb="FFBABABA"/>
      </top>
      <bottom/>
      <diagonal/>
    </border>
    <border>
      <left/>
      <right style="medium">
        <color rgb="FFBABABA"/>
      </right>
      <top style="medium">
        <color rgb="FFBABABA"/>
      </top>
      <bottom/>
      <diagonal/>
    </border>
    <border>
      <left style="medium">
        <color rgb="FFBABABA"/>
      </left>
      <right/>
      <top style="thick">
        <color rgb="FFBABABA"/>
      </top>
      <bottom/>
      <diagonal/>
    </border>
    <border>
      <left/>
      <right style="medium">
        <color rgb="FFBABABA"/>
      </right>
      <top style="thick">
        <color rgb="FFBABABA"/>
      </top>
      <bottom/>
      <diagonal/>
    </border>
    <border>
      <left style="medium">
        <color rgb="FFBABABA"/>
      </left>
      <right/>
      <top/>
      <bottom/>
      <diagonal/>
    </border>
    <border>
      <left/>
      <right style="medium">
        <color rgb="FFBABABA"/>
      </right>
      <top/>
      <bottom/>
      <diagonal/>
    </border>
    <border>
      <left style="medium">
        <color rgb="FFBABABA"/>
      </left>
      <right/>
      <top style="medium">
        <color rgb="FFDADADA"/>
      </top>
      <bottom style="medium">
        <color rgb="FFBABABA"/>
      </bottom>
      <diagonal/>
    </border>
    <border>
      <left/>
      <right/>
      <top style="medium">
        <color rgb="FFDADADA"/>
      </top>
      <bottom style="medium">
        <color rgb="FFBABABA"/>
      </bottom>
      <diagonal/>
    </border>
    <border>
      <left/>
      <right style="medium">
        <color rgb="FFBABABA"/>
      </right>
      <top style="medium">
        <color rgb="FFDADADA"/>
      </top>
      <bottom style="medium">
        <color rgb="FFBABABA"/>
      </bottom>
      <diagonal/>
    </border>
    <border>
      <left style="medium">
        <color rgb="FFBABABA"/>
      </left>
      <right/>
      <top style="medium">
        <color rgb="FF999999"/>
      </top>
      <bottom/>
      <diagonal/>
    </border>
    <border>
      <left/>
      <right style="medium">
        <color rgb="FFBABABA"/>
      </right>
      <top style="medium">
        <color rgb="FF999999"/>
      </top>
      <bottom/>
      <diagonal/>
    </border>
    <border>
      <left style="medium">
        <color rgb="FFBABABA"/>
      </left>
      <right/>
      <top style="medium">
        <color rgb="FFDADADA"/>
      </top>
      <bottom/>
      <diagonal/>
    </border>
    <border>
      <left/>
      <right style="medium">
        <color rgb="FFBABABA"/>
      </right>
      <top style="medium">
        <color rgb="FFDADADA"/>
      </top>
      <bottom/>
      <diagonal/>
    </border>
    <border>
      <left style="medium">
        <color rgb="FFBABABA"/>
      </left>
      <right/>
      <top/>
      <bottom style="thick">
        <color rgb="FFBABABA"/>
      </bottom>
      <diagonal/>
    </border>
    <border>
      <left/>
      <right/>
      <top/>
      <bottom style="medium">
        <color rgb="FFBABABA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 style="medium">
        <color rgb="FF999999"/>
      </top>
      <bottom/>
      <diagonal/>
    </border>
    <border>
      <left/>
      <right style="medium">
        <color theme="6"/>
      </right>
      <top style="medium">
        <color rgb="FF999999"/>
      </top>
      <bottom/>
      <diagonal/>
    </border>
    <border>
      <left style="medium">
        <color theme="6"/>
      </left>
      <right/>
      <top style="medium">
        <color rgb="FFE0E4E9"/>
      </top>
      <bottom style="medium">
        <color rgb="FFE0E4E9"/>
      </bottom>
      <diagonal/>
    </border>
    <border>
      <left style="medium">
        <color theme="2"/>
      </left>
      <right style="medium">
        <color theme="6"/>
      </right>
      <top style="medium">
        <color rgb="FFE0E4E9"/>
      </top>
      <bottom style="medium">
        <color rgb="FFE0E4E9"/>
      </bottom>
      <diagonal/>
    </border>
    <border>
      <left style="medium">
        <color theme="6"/>
      </left>
      <right/>
      <top/>
      <bottom style="medium">
        <color rgb="FF999999"/>
      </bottom>
      <diagonal/>
    </border>
    <border>
      <left style="medium">
        <color theme="2"/>
      </left>
      <right style="medium">
        <color theme="6"/>
      </right>
      <top style="medium">
        <color rgb="FFE0E4E9"/>
      </top>
      <bottom style="medium">
        <color rgb="FF999999"/>
      </bottom>
      <diagonal/>
    </border>
    <border>
      <left style="medium">
        <color theme="6"/>
      </left>
      <right style="medium">
        <color theme="2"/>
      </right>
      <top style="medium">
        <color rgb="FFE0E4E9"/>
      </top>
      <bottom style="medium">
        <color rgb="FFE0E4E9"/>
      </bottom>
      <diagonal/>
    </border>
    <border>
      <left/>
      <right style="medium">
        <color theme="6"/>
      </right>
      <top style="medium">
        <color rgb="FFE0E4E9"/>
      </top>
      <bottom style="medium">
        <color rgb="FFE0E4E9"/>
      </bottom>
      <diagonal/>
    </border>
    <border>
      <left style="medium">
        <color theme="6"/>
      </left>
      <right style="medium">
        <color theme="2"/>
      </right>
      <top/>
      <bottom style="medium">
        <color rgb="FFE0E4E9"/>
      </bottom>
      <diagonal/>
    </border>
    <border>
      <left/>
      <right style="medium">
        <color theme="6"/>
      </right>
      <top/>
      <bottom style="medium">
        <color rgb="FFE0E4E9"/>
      </bottom>
      <diagonal/>
    </border>
    <border>
      <left style="medium">
        <color theme="6"/>
      </left>
      <right style="medium">
        <color theme="2"/>
      </right>
      <top/>
      <bottom style="medium">
        <color rgb="FF999999"/>
      </bottom>
      <diagonal/>
    </border>
    <border>
      <left style="medium">
        <color theme="6"/>
      </left>
      <right style="medium">
        <color theme="2"/>
      </right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24" fillId="0" borderId="0"/>
    <xf numFmtId="9" fontId="24" fillId="0" borderId="0" applyFont="0" applyFill="0" applyBorder="0" applyAlignment="0" applyProtection="0"/>
  </cellStyleXfs>
  <cellXfs count="157">
    <xf numFmtId="0" fontId="0" fillId="0" borderId="0" xfId="0"/>
    <xf numFmtId="0" fontId="9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0" fontId="11" fillId="4" borderId="14" xfId="0" applyNumberFormat="1" applyFont="1" applyFill="1" applyBorder="1" applyAlignment="1">
      <alignment horizontal="left" vertical="center" wrapText="1"/>
    </xf>
    <xf numFmtId="10" fontId="3" fillId="2" borderId="1" xfId="0" applyNumberFormat="1" applyFont="1" applyFill="1" applyBorder="1" applyAlignment="1">
      <alignment wrapText="1"/>
    </xf>
    <xf numFmtId="10" fontId="3" fillId="2" borderId="15" xfId="0" applyNumberFormat="1" applyFont="1" applyFill="1" applyBorder="1" applyAlignment="1">
      <alignment wrapText="1"/>
    </xf>
    <xf numFmtId="10" fontId="3" fillId="0" borderId="2" xfId="0" applyNumberFormat="1" applyFont="1" applyBorder="1" applyAlignment="1">
      <alignment wrapText="1"/>
    </xf>
    <xf numFmtId="10" fontId="3" fillId="0" borderId="8" xfId="0" applyNumberFormat="1" applyFont="1" applyBorder="1" applyAlignment="1">
      <alignment wrapText="1"/>
    </xf>
    <xf numFmtId="10" fontId="3" fillId="0" borderId="0" xfId="0" applyNumberFormat="1" applyFont="1" applyAlignment="1"/>
    <xf numFmtId="10" fontId="3" fillId="0" borderId="0" xfId="0" applyNumberFormat="1" applyFont="1" applyAlignment="1">
      <alignment wrapText="1"/>
    </xf>
    <xf numFmtId="10" fontId="3" fillId="0" borderId="10" xfId="0" applyNumberFormat="1" applyFont="1" applyBorder="1" applyAlignment="1">
      <alignment wrapText="1"/>
    </xf>
    <xf numFmtId="10" fontId="3" fillId="0" borderId="3" xfId="0" applyNumberFormat="1" applyFont="1" applyBorder="1" applyAlignment="1">
      <alignment wrapText="1"/>
    </xf>
    <xf numFmtId="10" fontId="3" fillId="0" borderId="17" xfId="0" applyNumberFormat="1" applyFont="1" applyBorder="1" applyAlignment="1">
      <alignment wrapText="1"/>
    </xf>
    <xf numFmtId="10" fontId="3" fillId="0" borderId="0" xfId="1" applyNumberFormat="1" applyFont="1" applyAlignment="1">
      <alignment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 vertical="center" wrapText="1"/>
    </xf>
    <xf numFmtId="49" fontId="3" fillId="0" borderId="0" xfId="1" applyNumberFormat="1" applyFont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0" borderId="0" xfId="0" applyFont="1" applyAlignment="1"/>
    <xf numFmtId="0" fontId="5" fillId="2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0" fontId="3" fillId="2" borderId="2" xfId="0" applyNumberFormat="1" applyFont="1" applyFill="1" applyBorder="1" applyAlignment="1">
      <alignment horizontal="right" vertical="center"/>
    </xf>
    <xf numFmtId="10" fontId="3" fillId="0" borderId="2" xfId="0" applyNumberFormat="1" applyFont="1" applyBorder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10" fontId="3" fillId="0" borderId="3" xfId="0" applyNumberFormat="1" applyFont="1" applyBorder="1" applyAlignment="1">
      <alignment horizontal="right" vertical="center"/>
    </xf>
    <xf numFmtId="10" fontId="3" fillId="0" borderId="12" xfId="0" applyNumberFormat="1" applyFont="1" applyBorder="1" applyAlignment="1">
      <alignment horizontal="right" vertical="center"/>
    </xf>
    <xf numFmtId="10" fontId="3" fillId="2" borderId="8" xfId="0" applyNumberFormat="1" applyFont="1" applyFill="1" applyBorder="1" applyAlignment="1">
      <alignment horizontal="right" vertical="center"/>
    </xf>
    <xf numFmtId="10" fontId="3" fillId="0" borderId="8" xfId="0" applyNumberFormat="1" applyFont="1" applyBorder="1" applyAlignment="1">
      <alignment horizontal="right" vertical="center"/>
    </xf>
    <xf numFmtId="10" fontId="3" fillId="0" borderId="10" xfId="0" applyNumberFormat="1" applyFont="1" applyBorder="1" applyAlignment="1">
      <alignment horizontal="right" vertical="center"/>
    </xf>
    <xf numFmtId="10" fontId="3" fillId="0" borderId="17" xfId="0" applyNumberFormat="1" applyFont="1" applyBorder="1" applyAlignment="1">
      <alignment horizontal="right" vertical="center"/>
    </xf>
    <xf numFmtId="10" fontId="3" fillId="0" borderId="13" xfId="0" applyNumberFormat="1" applyFont="1" applyBorder="1" applyAlignment="1">
      <alignment horizontal="right" vertical="center"/>
    </xf>
    <xf numFmtId="0" fontId="17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6" fillId="0" borderId="0" xfId="3" applyProtection="1">
      <protection hidden="1"/>
    </xf>
    <xf numFmtId="0" fontId="16" fillId="0" borderId="0" xfId="3"/>
    <xf numFmtId="0" fontId="19" fillId="0" borderId="0" xfId="3" applyFont="1" applyProtection="1">
      <protection hidden="1"/>
    </xf>
    <xf numFmtId="0" fontId="19" fillId="0" borderId="20" xfId="3" applyFont="1" applyBorder="1" applyProtection="1">
      <protection hidden="1"/>
    </xf>
    <xf numFmtId="0" fontId="18" fillId="0" borderId="21" xfId="3" applyFont="1" applyBorder="1" applyProtection="1">
      <protection hidden="1"/>
    </xf>
    <xf numFmtId="0" fontId="16" fillId="0" borderId="21" xfId="3" applyBorder="1" applyProtection="1">
      <protection hidden="1"/>
    </xf>
    <xf numFmtId="0" fontId="19" fillId="0" borderId="29" xfId="3" applyFont="1" applyBorder="1" applyProtection="1">
      <protection hidden="1"/>
    </xf>
    <xf numFmtId="0" fontId="0" fillId="0" borderId="0" xfId="0"/>
    <xf numFmtId="0" fontId="16" fillId="0" borderId="0" xfId="3" applyNumberFormat="1" applyAlignment="1" applyProtection="1">
      <alignment horizontal="center" vertical="center"/>
      <protection hidden="1"/>
    </xf>
    <xf numFmtId="0" fontId="16" fillId="0" borderId="0" xfId="3" applyNumberFormat="1"/>
    <xf numFmtId="0" fontId="16" fillId="0" borderId="0" xfId="3" applyNumberFormat="1" applyProtection="1">
      <protection hidden="1"/>
    </xf>
    <xf numFmtId="0" fontId="16" fillId="0" borderId="0" xfId="2" applyNumberFormat="1" applyFont="1" applyAlignment="1" applyProtection="1">
      <alignment horizontal="center" vertical="center"/>
      <protection hidden="1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31" xfId="0" applyBorder="1"/>
    <xf numFmtId="0" fontId="22" fillId="0" borderId="32" xfId="0" applyFont="1" applyBorder="1" applyAlignment="1">
      <alignment vertical="center" wrapText="1"/>
    </xf>
    <xf numFmtId="0" fontId="2" fillId="0" borderId="33" xfId="0" applyFont="1" applyBorder="1"/>
    <xf numFmtId="0" fontId="5" fillId="2" borderId="34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right" vertical="center" wrapText="1"/>
    </xf>
    <xf numFmtId="0" fontId="2" fillId="5" borderId="36" xfId="0" applyFont="1" applyFill="1" applyBorder="1" applyAlignment="1">
      <alignment horizontal="left" vertical="center" wrapText="1" indent="1"/>
    </xf>
    <xf numFmtId="0" fontId="23" fillId="0" borderId="37" xfId="0" applyFont="1" applyBorder="1" applyAlignment="1">
      <alignment horizontal="right" vertical="center" wrapText="1" indent="1"/>
    </xf>
    <xf numFmtId="0" fontId="2" fillId="5" borderId="38" xfId="0" applyFont="1" applyFill="1" applyBorder="1" applyAlignment="1">
      <alignment horizontal="left" vertical="center" wrapText="1" indent="1"/>
    </xf>
    <xf numFmtId="0" fontId="23" fillId="0" borderId="39" xfId="0" applyFont="1" applyBorder="1" applyAlignment="1">
      <alignment horizontal="right" vertical="center" wrapText="1" indent="1"/>
    </xf>
    <xf numFmtId="0" fontId="2" fillId="5" borderId="40" xfId="0" applyFont="1" applyFill="1" applyBorder="1" applyAlignment="1">
      <alignment horizontal="left" vertical="center" wrapText="1" indent="1"/>
    </xf>
    <xf numFmtId="0" fontId="23" fillId="0" borderId="41" xfId="0" applyFont="1" applyBorder="1" applyAlignment="1">
      <alignment horizontal="right" vertical="center" wrapText="1" indent="1"/>
    </xf>
    <xf numFmtId="0" fontId="2" fillId="5" borderId="42" xfId="0" applyFont="1" applyFill="1" applyBorder="1" applyAlignment="1">
      <alignment horizontal="left" vertical="center" wrapText="1" indent="1"/>
    </xf>
    <xf numFmtId="0" fontId="23" fillId="0" borderId="43" xfId="0" applyFont="1" applyBorder="1" applyAlignment="1">
      <alignment horizontal="right" vertical="center" wrapText="1" indent="1"/>
    </xf>
    <xf numFmtId="0" fontId="2" fillId="5" borderId="44" xfId="0" applyFont="1" applyFill="1" applyBorder="1" applyAlignment="1">
      <alignment horizontal="left" vertical="center" wrapText="1" indent="1"/>
    </xf>
    <xf numFmtId="17" fontId="23" fillId="0" borderId="43" xfId="0" applyNumberFormat="1" applyFont="1" applyBorder="1" applyAlignment="1">
      <alignment horizontal="right" vertical="center" wrapText="1" indent="1"/>
    </xf>
    <xf numFmtId="0" fontId="2" fillId="5" borderId="45" xfId="0" applyFont="1" applyFill="1" applyBorder="1" applyAlignment="1">
      <alignment horizontal="left" vertical="center" wrapText="1" indent="1"/>
    </xf>
    <xf numFmtId="0" fontId="23" fillId="0" borderId="46" xfId="0" applyFont="1" applyBorder="1" applyAlignment="1">
      <alignment horizontal="right" vertical="center" wrapText="1" indent="1"/>
    </xf>
    <xf numFmtId="0" fontId="0" fillId="0" borderId="0" xfId="0"/>
    <xf numFmtId="0" fontId="17" fillId="0" borderId="0" xfId="3" applyFont="1" applyProtection="1">
      <protection hidden="1"/>
    </xf>
    <xf numFmtId="0" fontId="19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6" fillId="0" borderId="0" xfId="3" applyProtection="1">
      <protection hidden="1"/>
    </xf>
    <xf numFmtId="3" fontId="0" fillId="0" borderId="0" xfId="0" applyNumberFormat="1"/>
    <xf numFmtId="2" fontId="1" fillId="0" borderId="43" xfId="0" applyNumberFormat="1" applyFont="1" applyBorder="1" applyAlignment="1">
      <alignment horizontal="right" vertical="center" wrapText="1" indent="1"/>
    </xf>
    <xf numFmtId="16" fontId="1" fillId="0" borderId="43" xfId="0" applyNumberFormat="1" applyFont="1" applyBorder="1" applyAlignment="1">
      <alignment horizontal="right" vertical="center" wrapText="1" indent="1"/>
    </xf>
    <xf numFmtId="0" fontId="0" fillId="0" borderId="0" xfId="0"/>
    <xf numFmtId="14" fontId="10" fillId="0" borderId="0" xfId="0" applyNumberFormat="1" applyFont="1" applyAlignment="1">
      <alignment horizontal="right" vertical="center" wrapText="1"/>
    </xf>
    <xf numFmtId="0" fontId="21" fillId="3" borderId="0" xfId="0" applyFont="1" applyFill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0" fontId="12" fillId="3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4" xfId="0" applyFont="1" applyBorder="1" applyAlignment="1">
      <alignment horizontal="right" vertical="center" wrapText="1"/>
    </xf>
    <xf numFmtId="0" fontId="13" fillId="0" borderId="18" xfId="0" applyFont="1" applyBorder="1" applyAlignment="1">
      <alignment horizontal="right" vertical="center" wrapText="1"/>
    </xf>
    <xf numFmtId="0" fontId="15" fillId="3" borderId="19" xfId="0" applyFont="1" applyFill="1" applyBorder="1" applyAlignment="1">
      <alignment horizontal="center" wrapText="1"/>
    </xf>
    <xf numFmtId="0" fontId="20" fillId="3" borderId="0" xfId="3" applyFont="1" applyFill="1" applyAlignment="1" applyProtection="1">
      <alignment horizontal="center"/>
      <protection hidden="1"/>
    </xf>
    <xf numFmtId="0" fontId="19" fillId="0" borderId="20" xfId="3" applyFont="1" applyBorder="1" applyProtection="1">
      <protection hidden="1"/>
    </xf>
    <xf numFmtId="0" fontId="0" fillId="0" borderId="21" xfId="0" applyBorder="1"/>
    <xf numFmtId="0" fontId="0" fillId="0" borderId="22" xfId="0" applyBorder="1"/>
    <xf numFmtId="10" fontId="16" fillId="0" borderId="23" xfId="2" applyNumberFormat="1" applyFont="1" applyBorder="1" applyAlignment="1" applyProtection="1">
      <alignment horizontal="center" vertical="center"/>
      <protection hidden="1"/>
    </xf>
    <xf numFmtId="10" fontId="0" fillId="0" borderId="27" xfId="0" applyNumberFormat="1" applyBorder="1" applyAlignment="1">
      <alignment horizontal="center" vertical="center"/>
    </xf>
    <xf numFmtId="0" fontId="18" fillId="0" borderId="24" xfId="3" applyFont="1" applyBorder="1" applyProtection="1">
      <protection hidden="1"/>
    </xf>
    <xf numFmtId="0" fontId="0" fillId="0" borderId="25" xfId="0" applyBorder="1"/>
    <xf numFmtId="0" fontId="0" fillId="0" borderId="26" xfId="0" applyBorder="1"/>
    <xf numFmtId="10" fontId="16" fillId="0" borderId="27" xfId="2" applyNumberFormat="1" applyFont="1" applyBorder="1" applyAlignment="1" applyProtection="1">
      <alignment horizontal="center" vertical="center"/>
      <protection hidden="1"/>
    </xf>
    <xf numFmtId="9" fontId="16" fillId="0" borderId="23" xfId="2" applyFont="1" applyBorder="1" applyAlignment="1" applyProtection="1">
      <alignment horizontal="center" vertical="center"/>
      <protection hidden="1"/>
    </xf>
    <xf numFmtId="9" fontId="0" fillId="0" borderId="27" xfId="2" applyFont="1" applyBorder="1" applyAlignment="1">
      <alignment horizontal="center" vertical="center"/>
    </xf>
    <xf numFmtId="164" fontId="16" fillId="0" borderId="23" xfId="5" applyNumberFormat="1" applyFont="1" applyBorder="1" applyAlignment="1" applyProtection="1">
      <alignment horizontal="center" vertical="center"/>
      <protection hidden="1"/>
    </xf>
    <xf numFmtId="164" fontId="16" fillId="0" borderId="27" xfId="5" applyNumberFormat="1" applyFont="1" applyBorder="1" applyAlignment="1" applyProtection="1">
      <alignment horizontal="center" vertical="center"/>
      <protection hidden="1"/>
    </xf>
    <xf numFmtId="10" fontId="16" fillId="0" borderId="23" xfId="3" applyNumberFormat="1" applyBorder="1" applyAlignment="1" applyProtection="1">
      <alignment horizontal="center" vertical="center"/>
      <protection hidden="1"/>
    </xf>
    <xf numFmtId="10" fontId="16" fillId="0" borderId="23" xfId="2" applyNumberFormat="1" applyFont="1" applyBorder="1" applyAlignment="1" applyProtection="1">
      <alignment horizontal="center" vertical="center" wrapText="1"/>
      <protection hidden="1"/>
    </xf>
    <xf numFmtId="10" fontId="0" fillId="0" borderId="27" xfId="0" applyNumberFormat="1" applyBorder="1" applyAlignment="1">
      <alignment horizontal="center" vertical="center" wrapText="1"/>
    </xf>
    <xf numFmtId="0" fontId="16" fillId="0" borderId="0" xfId="3" applyNumberFormat="1" applyAlignment="1" applyProtection="1">
      <alignment horizontal="center" vertical="center"/>
      <protection hidden="1"/>
    </xf>
    <xf numFmtId="0" fontId="16" fillId="0" borderId="25" xfId="3" applyNumberFormat="1" applyBorder="1" applyAlignment="1" applyProtection="1">
      <alignment horizontal="center" vertical="center"/>
      <protection hidden="1"/>
    </xf>
    <xf numFmtId="10" fontId="0" fillId="0" borderId="23" xfId="0" applyNumberFormat="1" applyBorder="1"/>
    <xf numFmtId="10" fontId="0" fillId="0" borderId="28" xfId="0" applyNumberFormat="1" applyBorder="1"/>
    <xf numFmtId="10" fontId="0" fillId="0" borderId="27" xfId="0" applyNumberFormat="1" applyBorder="1"/>
    <xf numFmtId="0" fontId="19" fillId="0" borderId="29" xfId="3" applyFont="1" applyBorder="1" applyProtection="1">
      <protection hidden="1"/>
    </xf>
    <xf numFmtId="0" fontId="0" fillId="0" borderId="0" xfId="0"/>
    <xf numFmtId="0" fontId="0" fillId="0" borderId="30" xfId="0" applyBorder="1"/>
    <xf numFmtId="10" fontId="16" fillId="0" borderId="27" xfId="2" applyNumberFormat="1" applyFont="1" applyBorder="1" applyAlignment="1" applyProtection="1">
      <alignment horizontal="center" vertical="center" wrapText="1"/>
      <protection hidden="1"/>
    </xf>
    <xf numFmtId="10" fontId="16" fillId="0" borderId="28" xfId="2" applyNumberFormat="1" applyFont="1" applyBorder="1" applyAlignment="1" applyProtection="1">
      <alignment horizontal="center" vertical="center"/>
      <protection hidden="1"/>
    </xf>
    <xf numFmtId="165" fontId="16" fillId="0" borderId="23" xfId="1" applyNumberFormat="1" applyFont="1" applyBorder="1" applyAlignment="1" applyProtection="1">
      <alignment horizontal="center" vertical="center"/>
      <protection hidden="1"/>
    </xf>
    <xf numFmtId="165" fontId="0" fillId="0" borderId="27" xfId="1" applyNumberFormat="1" applyFont="1" applyBorder="1" applyAlignment="1">
      <alignment horizontal="center" vertical="center"/>
    </xf>
    <xf numFmtId="9" fontId="16" fillId="0" borderId="27" xfId="2" applyFont="1" applyBorder="1" applyAlignment="1" applyProtection="1">
      <alignment horizontal="center" vertical="center"/>
      <protection hidden="1"/>
    </xf>
    <xf numFmtId="10" fontId="16" fillId="0" borderId="23" xfId="1" applyNumberFormat="1" applyFont="1" applyBorder="1" applyAlignment="1" applyProtection="1">
      <alignment horizontal="center" vertical="center"/>
      <protection hidden="1"/>
    </xf>
    <xf numFmtId="10" fontId="16" fillId="0" borderId="27" xfId="1" applyNumberFormat="1" applyFont="1" applyBorder="1" applyAlignment="1" applyProtection="1">
      <alignment horizontal="center" vertical="center"/>
      <protection hidden="1"/>
    </xf>
    <xf numFmtId="0" fontId="18" fillId="0" borderId="24" xfId="3" applyFont="1" applyBorder="1" applyAlignment="1" applyProtection="1">
      <protection hidden="1"/>
    </xf>
    <xf numFmtId="0" fontId="24" fillId="0" borderId="25" xfId="4" applyBorder="1" applyAlignment="1"/>
    <xf numFmtId="0" fontId="24" fillId="0" borderId="26" xfId="4" applyBorder="1" applyAlignment="1"/>
    <xf numFmtId="0" fontId="19" fillId="0" borderId="20" xfId="3" applyFont="1" applyBorder="1" applyAlignment="1" applyProtection="1">
      <protection hidden="1"/>
    </xf>
    <xf numFmtId="0" fontId="24" fillId="0" borderId="21" xfId="4" applyBorder="1" applyAlignment="1"/>
    <xf numFmtId="0" fontId="24" fillId="0" borderId="22" xfId="4" applyBorder="1" applyAlignment="1"/>
  </cellXfs>
  <cellStyles count="6">
    <cellStyle name="Comma" xfId="1" builtinId="3"/>
    <cellStyle name="Normal" xfId="0" builtinId="0"/>
    <cellStyle name="Normal 2" xfId="4" xr:uid="{2390F64C-744F-4D32-9087-681D3013F476}"/>
    <cellStyle name="Normal_Sheet1" xfId="3" xr:uid="{4F660405-77AB-4F2C-A430-0E048C34CDA5}"/>
    <cellStyle name="Percent" xfId="2" builtinId="5"/>
    <cellStyle name="Percent 2" xfId="5" xr:uid="{67E83424-F88A-4B7A-8001-B901D121B9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9111F-8AD1-4588-916F-762BB629FF84}">
  <dimension ref="A1:D62"/>
  <sheetViews>
    <sheetView workbookViewId="0">
      <selection activeCell="B15" sqref="B15"/>
    </sheetView>
  </sheetViews>
  <sheetFormatPr defaultRowHeight="15"/>
  <cols>
    <col min="1" max="1" width="36.7109375" customWidth="1"/>
    <col min="2" max="2" width="13.140625" customWidth="1"/>
  </cols>
  <sheetData>
    <row r="1" spans="1:4" ht="16.5" thickBot="1">
      <c r="A1" s="111" t="s">
        <v>171</v>
      </c>
      <c r="B1" s="111"/>
    </row>
    <row r="2" spans="1:4" ht="15.75" thickBot="1">
      <c r="A2" s="85" t="s">
        <v>171</v>
      </c>
      <c r="B2" s="86"/>
    </row>
    <row r="3" spans="1:4" ht="15.75" thickBot="1">
      <c r="A3" s="87" t="s">
        <v>172</v>
      </c>
      <c r="B3" s="88"/>
      <c r="D3" s="84"/>
    </row>
    <row r="4" spans="1:4" ht="15.75" thickBot="1">
      <c r="A4" s="89" t="s">
        <v>173</v>
      </c>
      <c r="B4" s="90" t="s">
        <v>174</v>
      </c>
    </row>
    <row r="5" spans="1:4" ht="15.75" thickBot="1">
      <c r="A5" s="91" t="s">
        <v>175</v>
      </c>
      <c r="B5" s="92" t="s">
        <v>176</v>
      </c>
    </row>
    <row r="6" spans="1:4" ht="15.75" thickBot="1">
      <c r="A6" s="87" t="s">
        <v>177</v>
      </c>
      <c r="B6" s="88"/>
    </row>
    <row r="7" spans="1:4" ht="15.75" thickBot="1">
      <c r="A7" s="89" t="s">
        <v>178</v>
      </c>
      <c r="B7" s="90" t="s">
        <v>179</v>
      </c>
    </row>
    <row r="8" spans="1:4" ht="15.75" thickBot="1">
      <c r="A8" s="91" t="s">
        <v>180</v>
      </c>
      <c r="B8" s="92" t="s">
        <v>181</v>
      </c>
    </row>
    <row r="9" spans="1:4" ht="15.75" thickBot="1">
      <c r="A9" s="87" t="s">
        <v>182</v>
      </c>
      <c r="B9" s="88"/>
    </row>
    <row r="10" spans="1:4" ht="15.75" thickBot="1">
      <c r="A10" s="89" t="s">
        <v>183</v>
      </c>
      <c r="B10" s="90" t="s">
        <v>170</v>
      </c>
    </row>
    <row r="11" spans="1:4" ht="15.75" thickBot="1">
      <c r="A11" s="91" t="s">
        <v>184</v>
      </c>
      <c r="B11" s="92" t="s">
        <v>185</v>
      </c>
    </row>
    <row r="12" spans="1:4" ht="15.75" thickBot="1">
      <c r="A12" s="87" t="s">
        <v>70</v>
      </c>
      <c r="B12" s="88"/>
    </row>
    <row r="13" spans="1:4" ht="15.75" thickBot="1">
      <c r="A13" s="93" t="s">
        <v>186</v>
      </c>
      <c r="B13" s="94" t="s">
        <v>187</v>
      </c>
    </row>
    <row r="14" spans="1:4" ht="15.75" thickBot="1">
      <c r="A14" s="95" t="s">
        <v>188</v>
      </c>
      <c r="B14" s="108" t="s">
        <v>222</v>
      </c>
    </row>
    <row r="15" spans="1:4" ht="15.75" thickBot="1">
      <c r="A15" s="95" t="s">
        <v>189</v>
      </c>
      <c r="B15" s="96" t="s">
        <v>190</v>
      </c>
    </row>
    <row r="16" spans="1:4" ht="15.75" thickBot="1">
      <c r="A16" s="95" t="s">
        <v>191</v>
      </c>
      <c r="B16" s="96" t="s">
        <v>192</v>
      </c>
    </row>
    <row r="17" spans="1:2" ht="15.75" thickBot="1">
      <c r="A17" s="95" t="s">
        <v>193</v>
      </c>
      <c r="B17" s="96" t="s">
        <v>194</v>
      </c>
    </row>
    <row r="18" spans="1:2" ht="15.75" thickBot="1">
      <c r="A18" s="95" t="s">
        <v>195</v>
      </c>
      <c r="B18" s="96" t="s">
        <v>196</v>
      </c>
    </row>
    <row r="19" spans="1:2" ht="15.75" thickBot="1">
      <c r="A19" s="95" t="s">
        <v>197</v>
      </c>
      <c r="B19" s="96" t="s">
        <v>198</v>
      </c>
    </row>
    <row r="20" spans="1:2" ht="15.75" thickBot="1">
      <c r="A20" s="97" t="s">
        <v>199</v>
      </c>
      <c r="B20" s="96" t="s">
        <v>200</v>
      </c>
    </row>
    <row r="21" spans="1:2" ht="15.75" thickBot="1">
      <c r="A21" s="87" t="s">
        <v>40</v>
      </c>
      <c r="B21" s="88"/>
    </row>
    <row r="22" spans="1:2" ht="15.75" thickBot="1">
      <c r="A22" s="93" t="s">
        <v>201</v>
      </c>
      <c r="B22" s="94" t="s">
        <v>202</v>
      </c>
    </row>
    <row r="23" spans="1:2" ht="15.75" thickBot="1">
      <c r="A23" s="95" t="s">
        <v>203</v>
      </c>
      <c r="B23" s="107" t="s">
        <v>221</v>
      </c>
    </row>
    <row r="24" spans="1:2" ht="15.75" thickBot="1">
      <c r="A24" s="95" t="s">
        <v>204</v>
      </c>
      <c r="B24" s="96" t="s">
        <v>205</v>
      </c>
    </row>
    <row r="25" spans="1:2" ht="15.75" thickBot="1">
      <c r="A25" s="95" t="s">
        <v>206</v>
      </c>
      <c r="B25" s="96" t="s">
        <v>194</v>
      </c>
    </row>
    <row r="26" spans="1:2" ht="15.75" thickBot="1">
      <c r="A26" s="95" t="s">
        <v>207</v>
      </c>
      <c r="B26" s="96" t="s">
        <v>194</v>
      </c>
    </row>
    <row r="27" spans="1:2" ht="15.75" thickBot="1">
      <c r="A27" s="97" t="s">
        <v>208</v>
      </c>
      <c r="B27" s="98">
        <v>21641</v>
      </c>
    </row>
    <row r="28" spans="1:2" ht="15.75" thickBot="1">
      <c r="A28" s="87" t="s">
        <v>209</v>
      </c>
      <c r="B28" s="88"/>
    </row>
    <row r="29" spans="1:2" ht="15.75" thickBot="1">
      <c r="A29" s="93" t="s">
        <v>210</v>
      </c>
      <c r="B29" s="94" t="s">
        <v>211</v>
      </c>
    </row>
    <row r="30" spans="1:2" ht="15.75" thickBot="1">
      <c r="A30" s="99" t="s">
        <v>212</v>
      </c>
      <c r="B30" s="100" t="s">
        <v>194</v>
      </c>
    </row>
    <row r="31" spans="1:2">
      <c r="A31" s="77"/>
      <c r="B31" s="77"/>
    </row>
    <row r="32" spans="1:2">
      <c r="A32" s="77"/>
      <c r="B32" s="77"/>
    </row>
    <row r="33" spans="1:2">
      <c r="A33" s="77"/>
      <c r="B33" s="77"/>
    </row>
    <row r="34" spans="1:2">
      <c r="A34" s="77"/>
      <c r="B34" s="77"/>
    </row>
    <row r="35" spans="1:2">
      <c r="A35" s="77"/>
      <c r="B35" s="77"/>
    </row>
    <row r="36" spans="1:2">
      <c r="A36" s="77"/>
      <c r="B36" s="77"/>
    </row>
    <row r="37" spans="1:2">
      <c r="A37" s="77"/>
      <c r="B37" s="77"/>
    </row>
    <row r="38" spans="1:2">
      <c r="A38" s="77"/>
      <c r="B38" s="77"/>
    </row>
    <row r="39" spans="1:2">
      <c r="A39" s="77"/>
      <c r="B39" s="77"/>
    </row>
    <row r="40" spans="1:2">
      <c r="A40" s="77"/>
      <c r="B40" s="77"/>
    </row>
    <row r="41" spans="1:2">
      <c r="A41" s="77"/>
      <c r="B41" s="77"/>
    </row>
    <row r="42" spans="1:2">
      <c r="A42" s="77"/>
      <c r="B42" s="77"/>
    </row>
    <row r="43" spans="1:2">
      <c r="A43" s="77"/>
      <c r="B43" s="77"/>
    </row>
    <row r="44" spans="1:2">
      <c r="A44" s="77"/>
      <c r="B44" s="77"/>
    </row>
    <row r="45" spans="1:2">
      <c r="A45" s="77"/>
      <c r="B45" s="77"/>
    </row>
    <row r="46" spans="1:2">
      <c r="A46" s="77"/>
      <c r="B46" s="77"/>
    </row>
    <row r="47" spans="1:2">
      <c r="A47" s="77"/>
      <c r="B47" s="77"/>
    </row>
    <row r="48" spans="1:2">
      <c r="A48" s="77"/>
      <c r="B48" s="77"/>
    </row>
    <row r="49" spans="1:2">
      <c r="A49" s="77"/>
      <c r="B49" s="77"/>
    </row>
    <row r="50" spans="1:2">
      <c r="A50" s="77"/>
      <c r="B50" s="77"/>
    </row>
    <row r="51" spans="1:2">
      <c r="A51" s="77"/>
      <c r="B51" s="77"/>
    </row>
    <row r="52" spans="1:2">
      <c r="A52" s="77"/>
      <c r="B52" s="77"/>
    </row>
    <row r="53" spans="1:2">
      <c r="A53" s="77"/>
      <c r="B53" s="77"/>
    </row>
    <row r="54" spans="1:2">
      <c r="A54" s="77"/>
      <c r="B54" s="77"/>
    </row>
    <row r="55" spans="1:2">
      <c r="A55" s="77"/>
      <c r="B55" s="77"/>
    </row>
    <row r="56" spans="1:2">
      <c r="A56" s="77"/>
      <c r="B56" s="77"/>
    </row>
    <row r="57" spans="1:2">
      <c r="A57" s="77"/>
      <c r="B57" s="77"/>
    </row>
    <row r="58" spans="1:2">
      <c r="A58" s="77"/>
      <c r="B58" s="77"/>
    </row>
    <row r="59" spans="1:2">
      <c r="A59" s="77"/>
      <c r="B59" s="77"/>
    </row>
    <row r="60" spans="1:2">
      <c r="A60" s="77"/>
      <c r="B60" s="77"/>
    </row>
    <row r="61" spans="1:2">
      <c r="A61" s="77"/>
      <c r="B61" s="77"/>
    </row>
    <row r="62" spans="1:2">
      <c r="A62" s="77"/>
      <c r="B62" s="77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AA33-D194-45E7-8FAF-A701FDE2D4E7}">
  <dimension ref="A4:Y50"/>
  <sheetViews>
    <sheetView zoomScale="60" zoomScaleNormal="60" workbookViewId="0">
      <selection activeCell="U4" sqref="U4:Y9"/>
    </sheetView>
  </sheetViews>
  <sheetFormatPr defaultRowHeight="15"/>
  <cols>
    <col min="1" max="1" width="26.28515625" customWidth="1"/>
    <col min="2" max="2" width="11" customWidth="1"/>
    <col min="3" max="3" width="12.7109375" customWidth="1"/>
    <col min="4" max="4" width="11.85546875" customWidth="1"/>
    <col min="5" max="5" width="11.28515625" customWidth="1"/>
    <col min="7" max="8" width="0" hidden="1" customWidth="1"/>
    <col min="9" max="9" width="26" customWidth="1"/>
    <col min="10" max="10" width="10" customWidth="1"/>
    <col min="11" max="11" width="9.5703125" bestFit="1" customWidth="1"/>
    <col min="12" max="13" width="10" bestFit="1" customWidth="1"/>
    <col min="15" max="15" width="27.28515625" style="12" customWidth="1"/>
    <col min="16" max="18" width="9.140625" style="12"/>
    <col min="19" max="19" width="9.85546875" style="12" bestFit="1" customWidth="1"/>
    <col min="22" max="22" width="10.140625" customWidth="1"/>
  </cols>
  <sheetData>
    <row r="4" spans="1:25" ht="24" thickBot="1">
      <c r="A4" s="114" t="s">
        <v>40</v>
      </c>
      <c r="B4" s="115"/>
      <c r="C4" s="115"/>
      <c r="D4" s="115"/>
      <c r="E4" s="115"/>
      <c r="I4" s="114" t="s">
        <v>41</v>
      </c>
      <c r="J4" s="115"/>
      <c r="K4" s="115"/>
      <c r="L4" s="115"/>
      <c r="M4" s="115"/>
      <c r="O4" s="114" t="s">
        <v>47</v>
      </c>
      <c r="P4" s="115"/>
      <c r="Q4" s="115"/>
      <c r="R4" s="115"/>
      <c r="S4" s="115"/>
      <c r="U4" s="114" t="s">
        <v>224</v>
      </c>
      <c r="V4" s="115"/>
      <c r="W4" s="115"/>
      <c r="X4" s="115"/>
      <c r="Y4" s="115"/>
    </row>
    <row r="5" spans="1:25">
      <c r="A5" s="112" t="s">
        <v>11</v>
      </c>
      <c r="B5" s="2">
        <v>2018</v>
      </c>
      <c r="C5" s="2">
        <v>2017</v>
      </c>
      <c r="D5" s="2">
        <v>2016</v>
      </c>
      <c r="E5" s="3">
        <v>2015</v>
      </c>
      <c r="I5" s="112" t="s">
        <v>11</v>
      </c>
      <c r="J5" s="2">
        <v>2018</v>
      </c>
      <c r="K5" s="2">
        <v>2017</v>
      </c>
      <c r="L5" s="2">
        <v>2016</v>
      </c>
      <c r="M5" s="3">
        <v>2015</v>
      </c>
      <c r="O5" s="44" t="s">
        <v>11</v>
      </c>
      <c r="P5" s="2">
        <v>2018</v>
      </c>
      <c r="Q5" s="2">
        <v>2017</v>
      </c>
      <c r="R5" s="2">
        <v>2016</v>
      </c>
      <c r="S5" s="3">
        <v>2015</v>
      </c>
      <c r="U5" t="s">
        <v>223</v>
      </c>
      <c r="V5" t="str">
        <f ca="1">_xlfn.FORMULATEXT(J9)</f>
        <v>=B9/$B$47</v>
      </c>
    </row>
    <row r="6" spans="1:25" ht="15.75" thickBot="1">
      <c r="A6" s="113"/>
      <c r="B6" s="110">
        <v>43465</v>
      </c>
      <c r="C6" s="110">
        <v>43100</v>
      </c>
      <c r="D6" s="110">
        <v>42735</v>
      </c>
      <c r="E6" s="110">
        <v>42369</v>
      </c>
      <c r="I6" s="113"/>
      <c r="J6" s="110">
        <v>43465</v>
      </c>
      <c r="K6" s="110">
        <v>43100</v>
      </c>
      <c r="L6" s="110">
        <v>42735</v>
      </c>
      <c r="M6" s="110">
        <v>42369</v>
      </c>
      <c r="O6" s="45"/>
      <c r="P6" s="110">
        <v>43465</v>
      </c>
      <c r="Q6" s="110">
        <v>43100</v>
      </c>
      <c r="R6" s="110">
        <v>42735</v>
      </c>
      <c r="S6" s="110">
        <v>42369</v>
      </c>
      <c r="U6" t="s">
        <v>225</v>
      </c>
      <c r="V6" t="str">
        <f ca="1">_xlfn.FORMULATEXT(K9)</f>
        <v>=C9/$C$47</v>
      </c>
    </row>
    <row r="7" spans="1:25" ht="16.5" thickTop="1" thickBot="1">
      <c r="A7" s="4" t="s">
        <v>12</v>
      </c>
      <c r="B7" s="5">
        <v>0</v>
      </c>
      <c r="C7" s="5">
        <v>0</v>
      </c>
      <c r="D7" s="5">
        <v>0</v>
      </c>
      <c r="E7" s="6">
        <v>0</v>
      </c>
      <c r="I7" s="4" t="str">
        <f>A7</f>
        <v>Total Current Assets</v>
      </c>
      <c r="J7" s="5"/>
      <c r="K7" s="5"/>
      <c r="L7" s="5"/>
      <c r="M7" s="6"/>
      <c r="O7" s="4" t="str">
        <f>A7</f>
        <v>Total Current Assets</v>
      </c>
      <c r="P7" s="5"/>
      <c r="Q7" s="5"/>
      <c r="R7" s="5"/>
      <c r="S7" s="6"/>
    </row>
    <row r="8" spans="1:25" ht="15.75" thickBot="1">
      <c r="A8" s="7" t="s">
        <v>0</v>
      </c>
      <c r="B8" s="24">
        <v>163500.23000000001</v>
      </c>
      <c r="C8" s="24">
        <v>131194.67000000001</v>
      </c>
      <c r="D8" s="24">
        <v>104325.83</v>
      </c>
      <c r="E8" s="25">
        <v>88049.07</v>
      </c>
      <c r="I8" s="7" t="str">
        <f t="shared" ref="I8:I50" si="0">A8</f>
        <v>Total Assets</v>
      </c>
      <c r="J8" s="14">
        <f t="shared" ref="J8:J49" si="1">B8/$B$47</f>
        <v>1</v>
      </c>
      <c r="K8" s="14">
        <f>C8/$C$47</f>
        <v>1</v>
      </c>
      <c r="L8" s="14">
        <f>D8/$D$47</f>
        <v>1</v>
      </c>
      <c r="M8" s="15">
        <f>E8/$E$47</f>
        <v>1</v>
      </c>
      <c r="O8" s="7" t="str">
        <f t="shared" ref="O8:O49" si="2">A8</f>
        <v>Total Assets</v>
      </c>
      <c r="P8" s="14">
        <f>(B8-E8)/E8</f>
        <v>0.85692171422139951</v>
      </c>
      <c r="Q8" s="14">
        <f>(C8-E8)/E8</f>
        <v>0.49001766855686268</v>
      </c>
      <c r="R8" s="14">
        <f>(D8-E8)/E8</f>
        <v>0.18486010130487457</v>
      </c>
      <c r="S8" s="15"/>
      <c r="U8" t="s">
        <v>226</v>
      </c>
      <c r="V8" t="str">
        <f ca="1">_xlfn.FORMULATEXT(P9)</f>
        <v>=(B9-E9)/E9</v>
      </c>
    </row>
    <row r="9" spans="1:25" ht="24.75" customHeight="1" thickTop="1">
      <c r="A9" s="8" t="s">
        <v>1</v>
      </c>
      <c r="B9" s="26">
        <v>18511.439999999999</v>
      </c>
      <c r="C9" s="26">
        <v>15882.27</v>
      </c>
      <c r="D9" s="26">
        <v>13103.88</v>
      </c>
      <c r="E9" s="27">
        <v>9997.0499999999993</v>
      </c>
      <c r="I9" s="8" t="str">
        <f t="shared" si="0"/>
        <v>Cash &amp; Due from Banks</v>
      </c>
      <c r="J9" s="16">
        <f t="shared" si="1"/>
        <v>0.11321965724451885</v>
      </c>
      <c r="K9" s="16">
        <f t="shared" ref="K9:K49" si="3">C9/$C$47</f>
        <v>0.12105880520908356</v>
      </c>
      <c r="L9" s="16">
        <f>D9/$D$47</f>
        <v>0.12560532707959285</v>
      </c>
      <c r="M9" s="17">
        <f t="shared" ref="M9:M49" si="4">E9/$E$47</f>
        <v>0.11353952971905323</v>
      </c>
      <c r="O9" s="8" t="str">
        <f t="shared" si="2"/>
        <v>Cash &amp; Due from Banks</v>
      </c>
      <c r="P9" s="16">
        <f t="shared" ref="P9:P48" si="5">(B9-E9)/E9</f>
        <v>0.85169024862334386</v>
      </c>
      <c r="Q9" s="16">
        <f t="shared" ref="Q9:Q48" si="6">(C9-E9)/E9</f>
        <v>0.58869566522124039</v>
      </c>
      <c r="R9" s="16">
        <f t="shared" ref="R9:R48" si="7">(D9-E9)/E9</f>
        <v>0.31077467853016644</v>
      </c>
      <c r="S9" s="17"/>
      <c r="U9" t="s">
        <v>227</v>
      </c>
      <c r="V9" t="str">
        <f ca="1">_xlfn.FORMULATEXT(Q9)</f>
        <v>=(C9-E9)/E9</v>
      </c>
    </row>
    <row r="10" spans="1:25" ht="28.5">
      <c r="A10" s="9" t="s">
        <v>2</v>
      </c>
      <c r="B10" s="28">
        <v>35576.800000000003</v>
      </c>
      <c r="C10" s="28">
        <v>22602.41</v>
      </c>
      <c r="D10" s="28">
        <v>19535.72</v>
      </c>
      <c r="E10" s="29">
        <v>15095.4</v>
      </c>
      <c r="I10" s="9" t="str">
        <f t="shared" si="0"/>
        <v>Other Earning Assets, Total</v>
      </c>
      <c r="J10" s="18">
        <f t="shared" si="1"/>
        <v>0.21759480093697728</v>
      </c>
      <c r="K10" s="18">
        <f t="shared" si="3"/>
        <v>0.17228146539794642</v>
      </c>
      <c r="L10" s="19">
        <f t="shared" ref="L10:L49" si="8">D10/$D$47</f>
        <v>0.18725678961768147</v>
      </c>
      <c r="M10" s="20">
        <f t="shared" si="4"/>
        <v>0.17144303738812913</v>
      </c>
      <c r="O10" s="9" t="str">
        <f t="shared" si="2"/>
        <v>Other Earning Assets, Total</v>
      </c>
      <c r="P10" s="19">
        <f t="shared" si="5"/>
        <v>1.3567974349801928</v>
      </c>
      <c r="Q10" s="19">
        <f t="shared" si="6"/>
        <v>0.49730447686050056</v>
      </c>
      <c r="R10" s="19">
        <f t="shared" si="7"/>
        <v>0.29415053592485141</v>
      </c>
      <c r="S10" s="20"/>
    </row>
    <row r="11" spans="1:25">
      <c r="A11" s="9" t="s">
        <v>3</v>
      </c>
      <c r="B11" s="28">
        <v>99326.91</v>
      </c>
      <c r="C11" s="28">
        <v>86894.42</v>
      </c>
      <c r="D11" s="28">
        <v>65300.37</v>
      </c>
      <c r="E11" s="29">
        <v>58999.15</v>
      </c>
      <c r="I11" s="9" t="str">
        <f t="shared" si="0"/>
        <v>Net Loans</v>
      </c>
      <c r="J11" s="18">
        <f t="shared" si="1"/>
        <v>0.60750318210561538</v>
      </c>
      <c r="K11" s="18">
        <f t="shared" si="3"/>
        <v>0.66233193772277477</v>
      </c>
      <c r="L11" s="19">
        <f t="shared" si="8"/>
        <v>0.62592715533631504</v>
      </c>
      <c r="M11" s="20">
        <f t="shared" si="4"/>
        <v>0.67007124549981045</v>
      </c>
      <c r="O11" s="9" t="str">
        <f t="shared" si="2"/>
        <v>Net Loans</v>
      </c>
      <c r="P11" s="19">
        <f t="shared" si="5"/>
        <v>0.68353120341564244</v>
      </c>
      <c r="Q11" s="19">
        <f t="shared" si="6"/>
        <v>0.47280799808132823</v>
      </c>
      <c r="R11" s="19">
        <f t="shared" si="7"/>
        <v>0.10680187765416961</v>
      </c>
      <c r="S11" s="20"/>
    </row>
    <row r="12" spans="1:25" ht="28.5">
      <c r="A12" s="9" t="s">
        <v>42</v>
      </c>
      <c r="B12" s="28">
        <v>2869</v>
      </c>
      <c r="C12" s="28">
        <v>1942.79</v>
      </c>
      <c r="D12" s="28">
        <v>1838.31</v>
      </c>
      <c r="E12" s="29">
        <v>1581.51</v>
      </c>
      <c r="I12" s="9" t="str">
        <f t="shared" si="0"/>
        <v>Property/Plant/Equipment, Total 0 Net</v>
      </c>
      <c r="J12" s="18">
        <f t="shared" si="1"/>
        <v>1.7547375927238755E-2</v>
      </c>
      <c r="K12" s="18">
        <f t="shared" si="3"/>
        <v>1.4808452203126848E-2</v>
      </c>
      <c r="L12" s="19">
        <f t="shared" si="8"/>
        <v>1.7620851902160759E-2</v>
      </c>
      <c r="M12" s="20">
        <f t="shared" si="4"/>
        <v>1.7961688862812519E-2</v>
      </c>
      <c r="O12" s="9" t="str">
        <f t="shared" si="2"/>
        <v>Property/Plant/Equipment, Total 0 Net</v>
      </c>
      <c r="P12" s="19">
        <f t="shared" si="5"/>
        <v>0.81408906677795267</v>
      </c>
      <c r="Q12" s="19">
        <f t="shared" si="6"/>
        <v>0.22843990869485489</v>
      </c>
      <c r="R12" s="19">
        <f t="shared" si="7"/>
        <v>0.16237646300055009</v>
      </c>
      <c r="S12" s="20"/>
    </row>
    <row r="13" spans="1:25" ht="28.5">
      <c r="A13" s="9" t="s">
        <v>43</v>
      </c>
      <c r="B13" s="28">
        <v>4276.46</v>
      </c>
      <c r="C13" s="28">
        <v>3228.75</v>
      </c>
      <c r="D13" s="28">
        <v>3001.17</v>
      </c>
      <c r="E13" s="29">
        <v>2624.43</v>
      </c>
      <c r="I13" s="9" t="str">
        <f t="shared" si="0"/>
        <v>Property/Plant/Equipment, Total 0 Gross</v>
      </c>
      <c r="J13" s="18">
        <f t="shared" si="1"/>
        <v>2.6155681860508696E-2</v>
      </c>
      <c r="K13" s="18">
        <f t="shared" si="3"/>
        <v>2.4610374796476105E-2</v>
      </c>
      <c r="L13" s="19">
        <f t="shared" si="8"/>
        <v>2.876727652202719E-2</v>
      </c>
      <c r="M13" s="20">
        <f t="shared" si="4"/>
        <v>2.9806447700129027E-2</v>
      </c>
      <c r="O13" s="9" t="str">
        <f t="shared" si="2"/>
        <v>Property/Plant/Equipment, Total 0 Gross</v>
      </c>
      <c r="P13" s="19">
        <f t="shared" si="5"/>
        <v>0.62948144930518257</v>
      </c>
      <c r="Q13" s="19">
        <f t="shared" si="6"/>
        <v>0.23026714372263699</v>
      </c>
      <c r="R13" s="19">
        <f t="shared" si="7"/>
        <v>0.14355117111144144</v>
      </c>
      <c r="S13" s="20"/>
    </row>
    <row r="14" spans="1:25" ht="28.5">
      <c r="A14" s="9" t="s">
        <v>4</v>
      </c>
      <c r="B14" s="28">
        <f>1407.46</f>
        <v>1407.46</v>
      </c>
      <c r="C14" s="28">
        <f>1285.96</f>
        <v>1285.96</v>
      </c>
      <c r="D14" s="28">
        <f>1162.86</f>
        <v>1162.8599999999999</v>
      </c>
      <c r="E14" s="29">
        <f>1042.92</f>
        <v>1042.92</v>
      </c>
      <c r="I14" s="9" t="str">
        <f t="shared" si="0"/>
        <v>Accumulated Depreciation, Total</v>
      </c>
      <c r="J14" s="18">
        <f t="shared" si="1"/>
        <v>8.6083059332699406E-3</v>
      </c>
      <c r="K14" s="18">
        <f t="shared" si="3"/>
        <v>9.8019225933492563E-3</v>
      </c>
      <c r="L14" s="19">
        <f t="shared" si="8"/>
        <v>1.1146424619866431E-2</v>
      </c>
      <c r="M14" s="20">
        <f t="shared" si="4"/>
        <v>1.184475883731651E-2</v>
      </c>
      <c r="O14" s="9" t="str">
        <f t="shared" si="2"/>
        <v>Accumulated Depreciation, Total</v>
      </c>
      <c r="P14" s="19">
        <f t="shared" si="5"/>
        <v>0.34953783607563371</v>
      </c>
      <c r="Q14" s="19">
        <f t="shared" si="6"/>
        <v>0.23303800866797064</v>
      </c>
      <c r="R14" s="19">
        <f t="shared" si="7"/>
        <v>0.1150040271545275</v>
      </c>
      <c r="S14" s="20"/>
    </row>
    <row r="15" spans="1:25">
      <c r="A15" s="9" t="s">
        <v>5</v>
      </c>
      <c r="B15" s="28">
        <v>0</v>
      </c>
      <c r="C15" s="28">
        <v>0</v>
      </c>
      <c r="D15" s="28">
        <v>0</v>
      </c>
      <c r="E15" s="29">
        <v>0</v>
      </c>
      <c r="I15" s="9" t="str">
        <f t="shared" si="0"/>
        <v>Goodwill, Net</v>
      </c>
      <c r="J15" s="18">
        <f t="shared" si="1"/>
        <v>0</v>
      </c>
      <c r="K15" s="18">
        <f t="shared" si="3"/>
        <v>0</v>
      </c>
      <c r="L15" s="19">
        <f t="shared" si="8"/>
        <v>0</v>
      </c>
      <c r="M15" s="20">
        <f t="shared" si="4"/>
        <v>0</v>
      </c>
      <c r="O15" s="9" t="str">
        <f t="shared" si="2"/>
        <v>Goodwill, Net</v>
      </c>
      <c r="P15" s="19">
        <v>0</v>
      </c>
      <c r="Q15" s="19">
        <v>0</v>
      </c>
      <c r="R15" s="19">
        <v>0</v>
      </c>
      <c r="S15" s="20"/>
    </row>
    <row r="16" spans="1:25">
      <c r="A16" s="9" t="s">
        <v>6</v>
      </c>
      <c r="B16" s="28">
        <v>411.2</v>
      </c>
      <c r="C16" s="28">
        <v>338.76</v>
      </c>
      <c r="D16" s="28">
        <v>288.22000000000003</v>
      </c>
      <c r="E16" s="29">
        <v>270.04000000000002</v>
      </c>
      <c r="I16" s="9" t="str">
        <f t="shared" si="0"/>
        <v>Intangibles, Net</v>
      </c>
      <c r="J16" s="18">
        <f t="shared" si="1"/>
        <v>2.5149811715861193E-3</v>
      </c>
      <c r="K16" s="18">
        <f t="shared" si="3"/>
        <v>2.5821170936288795E-3</v>
      </c>
      <c r="L16" s="19">
        <f t="shared" si="8"/>
        <v>2.7626906970210545E-3</v>
      </c>
      <c r="M16" s="20">
        <f t="shared" si="4"/>
        <v>3.0669262037634243E-3</v>
      </c>
      <c r="O16" s="9" t="str">
        <f t="shared" si="2"/>
        <v>Intangibles, Net</v>
      </c>
      <c r="P16" s="19">
        <f t="shared" si="5"/>
        <v>0.52273737224114936</v>
      </c>
      <c r="Q16" s="19">
        <f t="shared" si="6"/>
        <v>0.25448081765664332</v>
      </c>
      <c r="R16" s="19">
        <f t="shared" si="7"/>
        <v>6.7323359502295982E-2</v>
      </c>
      <c r="S16" s="19"/>
    </row>
    <row r="17" spans="1:19">
      <c r="A17" s="9" t="s">
        <v>7</v>
      </c>
      <c r="B17" s="28">
        <v>186.65</v>
      </c>
      <c r="C17" s="28">
        <v>145.03</v>
      </c>
      <c r="D17" s="28">
        <v>116.09</v>
      </c>
      <c r="E17" s="29">
        <v>127.85</v>
      </c>
      <c r="I17" s="9" t="str">
        <f t="shared" si="0"/>
        <v>Long Term Investments</v>
      </c>
      <c r="J17" s="18">
        <f t="shared" si="1"/>
        <v>1.1415886081628142E-3</v>
      </c>
      <c r="K17" s="18">
        <f t="shared" si="3"/>
        <v>1.105456494535944E-3</v>
      </c>
      <c r="L17" s="19">
        <f t="shared" si="8"/>
        <v>1.1127637326249886E-3</v>
      </c>
      <c r="M17" s="20">
        <f t="shared" si="4"/>
        <v>1.4520312366729142E-3</v>
      </c>
      <c r="O17" s="9" t="str">
        <f t="shared" si="2"/>
        <v>Long Term Investments</v>
      </c>
      <c r="P17" s="19">
        <f t="shared" si="5"/>
        <v>0.45991396167383664</v>
      </c>
      <c r="Q17" s="19">
        <f t="shared" si="6"/>
        <v>0.13437622213531489</v>
      </c>
      <c r="R17" s="19">
        <f t="shared" si="7"/>
        <v>-9.1982792334767235E-2</v>
      </c>
      <c r="S17" s="20"/>
    </row>
    <row r="18" spans="1:19" ht="28.5">
      <c r="A18" s="9" t="s">
        <v>8</v>
      </c>
      <c r="B18" s="28">
        <v>618.08000000000004</v>
      </c>
      <c r="C18" s="28">
        <v>34.89</v>
      </c>
      <c r="D18" s="28">
        <v>71.7</v>
      </c>
      <c r="E18" s="29">
        <v>107.79</v>
      </c>
      <c r="I18" s="9" t="str">
        <f t="shared" si="0"/>
        <v>Other Long Term Assets, Total</v>
      </c>
      <c r="J18" s="18">
        <f t="shared" si="1"/>
        <v>3.7803004925436499E-3</v>
      </c>
      <c r="K18" s="18">
        <f t="shared" si="3"/>
        <v>2.6594068188898223E-4</v>
      </c>
      <c r="L18" s="19">
        <f t="shared" si="8"/>
        <v>6.8726987362573589E-4</v>
      </c>
      <c r="M18" s="20">
        <f t="shared" si="4"/>
        <v>1.2242037309423029E-3</v>
      </c>
      <c r="O18" s="9" t="str">
        <f t="shared" si="2"/>
        <v>Other Long Term Assets, Total</v>
      </c>
      <c r="P18" s="19">
        <f t="shared" si="5"/>
        <v>4.7341126264031912</v>
      </c>
      <c r="Q18" s="19">
        <f t="shared" si="6"/>
        <v>-0.67631505705538553</v>
      </c>
      <c r="R18" s="19">
        <f t="shared" si="7"/>
        <v>-0.33481770108544395</v>
      </c>
      <c r="S18" s="20"/>
    </row>
    <row r="19" spans="1:19" ht="15.75" thickBot="1">
      <c r="A19" s="9" t="s">
        <v>9</v>
      </c>
      <c r="B19" s="28">
        <v>6000.15</v>
      </c>
      <c r="C19" s="28">
        <v>3354.09</v>
      </c>
      <c r="D19" s="28">
        <v>4071.54</v>
      </c>
      <c r="E19" s="29">
        <v>1870.29</v>
      </c>
      <c r="I19" s="9" t="str">
        <f t="shared" si="0"/>
        <v>Other Assets, Total</v>
      </c>
      <c r="J19" s="18">
        <f t="shared" si="1"/>
        <v>3.6698113513357132E-2</v>
      </c>
      <c r="K19" s="18">
        <f t="shared" si="3"/>
        <v>2.5565748974405743E-2</v>
      </c>
      <c r="L19" s="19">
        <f t="shared" si="8"/>
        <v>3.9027151760978082E-2</v>
      </c>
      <c r="M19" s="20">
        <f t="shared" si="4"/>
        <v>2.1241450931849704E-2</v>
      </c>
      <c r="O19" s="9" t="str">
        <f t="shared" si="2"/>
        <v>Other Assets, Total</v>
      </c>
      <c r="P19" s="19">
        <f t="shared" si="5"/>
        <v>2.2081388447780825</v>
      </c>
      <c r="Q19" s="19">
        <f t="shared" si="6"/>
        <v>0.79335290249105761</v>
      </c>
      <c r="R19" s="19">
        <f t="shared" si="7"/>
        <v>1.17695651476509</v>
      </c>
      <c r="S19" s="20"/>
    </row>
    <row r="20" spans="1:19" ht="30.75" thickBot="1">
      <c r="A20" s="10" t="s">
        <v>10</v>
      </c>
      <c r="B20" s="30">
        <v>0</v>
      </c>
      <c r="C20" s="30">
        <v>0</v>
      </c>
      <c r="D20" s="30">
        <v>0</v>
      </c>
      <c r="E20" s="31">
        <v>0</v>
      </c>
      <c r="I20" s="10" t="str">
        <f t="shared" si="0"/>
        <v>Total Current Liabilities</v>
      </c>
      <c r="J20" s="18">
        <f t="shared" si="1"/>
        <v>0</v>
      </c>
      <c r="K20" s="18">
        <f t="shared" si="3"/>
        <v>0</v>
      </c>
      <c r="L20" s="21">
        <f t="shared" si="8"/>
        <v>0</v>
      </c>
      <c r="M20" s="22">
        <f t="shared" si="4"/>
        <v>0</v>
      </c>
      <c r="O20" s="10" t="str">
        <f t="shared" si="2"/>
        <v>Total Current Liabilities</v>
      </c>
      <c r="P20" s="21">
        <v>0</v>
      </c>
      <c r="Q20" s="21">
        <v>0</v>
      </c>
      <c r="R20" s="21">
        <v>0</v>
      </c>
      <c r="S20" s="22"/>
    </row>
    <row r="21" spans="1:19" ht="15.75" thickBot="1">
      <c r="A21" s="7" t="s">
        <v>13</v>
      </c>
      <c r="B21" s="24">
        <v>148903.57999999999</v>
      </c>
      <c r="C21" s="24">
        <v>118772.62</v>
      </c>
      <c r="D21" s="24">
        <v>94027.79</v>
      </c>
      <c r="E21" s="25">
        <v>78832.81</v>
      </c>
      <c r="I21" s="7" t="str">
        <f t="shared" si="0"/>
        <v>Total Liabilities</v>
      </c>
      <c r="J21" s="14">
        <f t="shared" si="1"/>
        <v>0.91072397879807254</v>
      </c>
      <c r="K21" s="14">
        <f t="shared" si="3"/>
        <v>0.90531589431186488</v>
      </c>
      <c r="L21" s="14">
        <f t="shared" si="8"/>
        <v>0.90128964226788311</v>
      </c>
      <c r="M21" s="15">
        <f t="shared" si="4"/>
        <v>0.89532813918420706</v>
      </c>
      <c r="O21" s="7" t="str">
        <f t="shared" si="2"/>
        <v>Total Liabilities</v>
      </c>
      <c r="P21" s="14">
        <f t="shared" si="5"/>
        <v>0.88885287737428098</v>
      </c>
      <c r="Q21" s="14">
        <f t="shared" si="6"/>
        <v>0.50663943096789266</v>
      </c>
      <c r="R21" s="14">
        <f t="shared" si="7"/>
        <v>0.19274944023941296</v>
      </c>
      <c r="S21" s="15"/>
    </row>
    <row r="22" spans="1:19" ht="15.75" thickTop="1">
      <c r="A22" s="8" t="s">
        <v>14</v>
      </c>
      <c r="B22" s="26">
        <v>5333.67</v>
      </c>
      <c r="C22" s="26">
        <v>6725.02</v>
      </c>
      <c r="D22" s="26">
        <v>8318.98</v>
      </c>
      <c r="E22" s="27">
        <v>5670.6</v>
      </c>
      <c r="I22" s="8" t="str">
        <f t="shared" si="0"/>
        <v>Accounts Payable</v>
      </c>
      <c r="J22" s="16">
        <f t="shared" si="1"/>
        <v>3.2621788972406945E-2</v>
      </c>
      <c r="K22" s="16">
        <f t="shared" si="3"/>
        <v>5.125985682192729E-2</v>
      </c>
      <c r="L22" s="16">
        <f t="shared" si="8"/>
        <v>7.9740367270502419E-2</v>
      </c>
      <c r="M22" s="17">
        <f t="shared" si="4"/>
        <v>6.4402724526221575E-2</v>
      </c>
      <c r="O22" s="8" t="str">
        <f t="shared" si="2"/>
        <v>Accounts Payable</v>
      </c>
      <c r="P22" s="16">
        <f t="shared" si="5"/>
        <v>-5.9416992910803136E-2</v>
      </c>
      <c r="Q22" s="16">
        <f t="shared" si="6"/>
        <v>0.18594504990653546</v>
      </c>
      <c r="R22" s="16">
        <f t="shared" si="7"/>
        <v>0.46703699784855202</v>
      </c>
      <c r="S22" s="17"/>
    </row>
    <row r="23" spans="1:19">
      <c r="A23" s="9" t="s">
        <v>15</v>
      </c>
      <c r="B23" s="28">
        <v>0</v>
      </c>
      <c r="C23" s="28">
        <v>0</v>
      </c>
      <c r="D23" s="28">
        <v>0</v>
      </c>
      <c r="E23" s="29">
        <v>0</v>
      </c>
      <c r="I23" s="9" t="str">
        <f t="shared" si="0"/>
        <v>Payable/Accrued</v>
      </c>
      <c r="J23" s="18">
        <f t="shared" si="1"/>
        <v>0</v>
      </c>
      <c r="K23" s="18">
        <f t="shared" si="3"/>
        <v>0</v>
      </c>
      <c r="L23" s="19">
        <f t="shared" si="8"/>
        <v>0</v>
      </c>
      <c r="M23" s="20">
        <f t="shared" si="4"/>
        <v>0</v>
      </c>
      <c r="O23" s="9" t="str">
        <f t="shared" si="2"/>
        <v>Payable/Accrued</v>
      </c>
      <c r="P23" s="19">
        <v>0</v>
      </c>
      <c r="Q23" s="19">
        <v>0</v>
      </c>
      <c r="R23" s="19">
        <v>0</v>
      </c>
      <c r="S23" s="20"/>
    </row>
    <row r="24" spans="1:19">
      <c r="A24" s="9" t="s">
        <v>16</v>
      </c>
      <c r="B24" s="28">
        <v>0</v>
      </c>
      <c r="C24" s="28">
        <v>0</v>
      </c>
      <c r="D24" s="28">
        <v>0</v>
      </c>
      <c r="E24" s="29">
        <v>0</v>
      </c>
      <c r="I24" s="9" t="str">
        <f t="shared" si="0"/>
        <v>Accrued Expenses</v>
      </c>
      <c r="J24" s="18">
        <f t="shared" si="1"/>
        <v>0</v>
      </c>
      <c r="K24" s="18">
        <f t="shared" si="3"/>
        <v>0</v>
      </c>
      <c r="L24" s="19">
        <f t="shared" si="8"/>
        <v>0</v>
      </c>
      <c r="M24" s="20">
        <f t="shared" si="4"/>
        <v>0</v>
      </c>
      <c r="O24" s="9" t="str">
        <f t="shared" si="2"/>
        <v>Accrued Expenses</v>
      </c>
      <c r="P24" s="19">
        <v>0</v>
      </c>
      <c r="Q24" s="19">
        <v>0</v>
      </c>
      <c r="R24" s="19">
        <v>0</v>
      </c>
      <c r="S24" s="20"/>
    </row>
    <row r="25" spans="1:19">
      <c r="A25" s="9" t="s">
        <v>17</v>
      </c>
      <c r="B25" s="28">
        <v>86826.22</v>
      </c>
      <c r="C25" s="28">
        <v>67543.38</v>
      </c>
      <c r="D25" s="28">
        <v>53865.25</v>
      </c>
      <c r="E25" s="29">
        <v>48311.28</v>
      </c>
      <c r="I25" s="9" t="str">
        <f t="shared" si="0"/>
        <v>Total Deposits</v>
      </c>
      <c r="J25" s="18">
        <f t="shared" si="1"/>
        <v>0.53104647008753436</v>
      </c>
      <c r="K25" s="18">
        <f t="shared" si="3"/>
        <v>0.51483326266227125</v>
      </c>
      <c r="L25" s="19">
        <f t="shared" si="8"/>
        <v>0.51631748340751282</v>
      </c>
      <c r="M25" s="20">
        <f t="shared" si="4"/>
        <v>0.54868586346227166</v>
      </c>
      <c r="O25" s="9" t="str">
        <f t="shared" si="2"/>
        <v>Total Deposits</v>
      </c>
      <c r="P25" s="19">
        <f t="shared" si="5"/>
        <v>0.7972245819195849</v>
      </c>
      <c r="Q25" s="19">
        <f t="shared" si="6"/>
        <v>0.3980871548011149</v>
      </c>
      <c r="R25" s="19">
        <f t="shared" si="7"/>
        <v>0.11496217860507942</v>
      </c>
      <c r="S25" s="20"/>
    </row>
    <row r="26" spans="1:19" ht="28.5">
      <c r="A26" s="9" t="s">
        <v>18</v>
      </c>
      <c r="B26" s="28">
        <v>0</v>
      </c>
      <c r="C26" s="28">
        <v>0</v>
      </c>
      <c r="D26" s="28">
        <v>0</v>
      </c>
      <c r="E26" s="29">
        <v>0</v>
      </c>
      <c r="I26" s="9" t="str">
        <f t="shared" si="0"/>
        <v>Other Bearing Liabilities, Total</v>
      </c>
      <c r="J26" s="18">
        <f t="shared" si="1"/>
        <v>0</v>
      </c>
      <c r="K26" s="18">
        <f t="shared" si="3"/>
        <v>0</v>
      </c>
      <c r="L26" s="19">
        <f t="shared" si="8"/>
        <v>0</v>
      </c>
      <c r="M26" s="20">
        <f t="shared" si="4"/>
        <v>0</v>
      </c>
      <c r="O26" s="9" t="str">
        <f t="shared" si="2"/>
        <v>Other Bearing Liabilities, Total</v>
      </c>
      <c r="P26" s="19">
        <v>0</v>
      </c>
      <c r="Q26" s="19">
        <v>0</v>
      </c>
      <c r="R26" s="19">
        <v>0</v>
      </c>
      <c r="S26" s="20"/>
    </row>
    <row r="27" spans="1:19" ht="28.5">
      <c r="A27" s="9" t="s">
        <v>19</v>
      </c>
      <c r="B27" s="28">
        <v>4312.6899999999996</v>
      </c>
      <c r="C27" s="28">
        <v>13072.66</v>
      </c>
      <c r="D27" s="28">
        <v>8987.0499999999993</v>
      </c>
      <c r="E27" s="29">
        <v>8370.17</v>
      </c>
      <c r="I27" s="9" t="str">
        <f t="shared" si="0"/>
        <v>Total Short Term Borrowings</v>
      </c>
      <c r="J27" s="18">
        <f t="shared" si="1"/>
        <v>2.637727176285929E-2</v>
      </c>
      <c r="K27" s="18">
        <f t="shared" si="3"/>
        <v>9.9643224835277211E-2</v>
      </c>
      <c r="L27" s="19">
        <f t="shared" si="8"/>
        <v>8.6144054641118115E-2</v>
      </c>
      <c r="M27" s="20">
        <f t="shared" si="4"/>
        <v>9.506256000205339E-2</v>
      </c>
      <c r="O27" s="9" t="str">
        <f t="shared" si="2"/>
        <v>Total Short Term Borrowings</v>
      </c>
      <c r="P27" s="19">
        <f t="shared" si="5"/>
        <v>-0.48475478992660848</v>
      </c>
      <c r="Q27" s="19">
        <f t="shared" si="6"/>
        <v>0.56181535142058048</v>
      </c>
      <c r="R27" s="19">
        <f t="shared" si="7"/>
        <v>7.3699817327485484E-2</v>
      </c>
      <c r="S27" s="20"/>
    </row>
    <row r="28" spans="1:19" ht="28.5">
      <c r="A28" s="9" t="s">
        <v>39</v>
      </c>
      <c r="B28" s="28">
        <v>0</v>
      </c>
      <c r="C28" s="28">
        <v>0</v>
      </c>
      <c r="D28" s="28">
        <v>0</v>
      </c>
      <c r="E28" s="29">
        <v>0</v>
      </c>
      <c r="I28" s="9" t="str">
        <f t="shared" si="0"/>
        <v>Current Port, of LT Debt/Capital Leases</v>
      </c>
      <c r="J28" s="18">
        <f t="shared" si="1"/>
        <v>0</v>
      </c>
      <c r="K28" s="18">
        <f t="shared" si="3"/>
        <v>0</v>
      </c>
      <c r="L28" s="19">
        <f t="shared" si="8"/>
        <v>0</v>
      </c>
      <c r="M28" s="20">
        <f t="shared" si="4"/>
        <v>0</v>
      </c>
      <c r="O28" s="9" t="str">
        <f t="shared" si="2"/>
        <v>Current Port, of LT Debt/Capital Leases</v>
      </c>
      <c r="P28" s="19">
        <v>0</v>
      </c>
      <c r="Q28" s="19">
        <v>0</v>
      </c>
      <c r="R28" s="19">
        <v>0</v>
      </c>
      <c r="S28" s="20"/>
    </row>
    <row r="29" spans="1:19" ht="28.5">
      <c r="A29" s="9" t="s">
        <v>20</v>
      </c>
      <c r="B29" s="28">
        <v>159.87</v>
      </c>
      <c r="C29" s="28">
        <v>419.56</v>
      </c>
      <c r="D29" s="28">
        <v>198.1</v>
      </c>
      <c r="E29" s="29">
        <v>57.58</v>
      </c>
      <c r="I29" s="9" t="str">
        <f t="shared" si="0"/>
        <v>Other Current liabilities, Total</v>
      </c>
      <c r="J29" s="18">
        <f t="shared" si="1"/>
        <v>9.7779678964365988E-4</v>
      </c>
      <c r="K29" s="18">
        <f t="shared" si="3"/>
        <v>3.1979957722367836E-3</v>
      </c>
      <c r="L29" s="19">
        <f t="shared" si="8"/>
        <v>1.8988586048153174E-3</v>
      </c>
      <c r="M29" s="20">
        <f t="shared" si="4"/>
        <v>6.5395352841319046E-4</v>
      </c>
      <c r="O29" s="9" t="str">
        <f t="shared" si="2"/>
        <v>Other Current liabilities, Total</v>
      </c>
      <c r="P29" s="19">
        <f t="shared" si="5"/>
        <v>1.7764848905870096</v>
      </c>
      <c r="Q29" s="19">
        <f t="shared" si="6"/>
        <v>6.2865578325807574</v>
      </c>
      <c r="R29" s="19">
        <f t="shared" si="7"/>
        <v>2.4404307051059395</v>
      </c>
      <c r="S29" s="20"/>
    </row>
    <row r="30" spans="1:19">
      <c r="A30" s="9" t="s">
        <v>21</v>
      </c>
      <c r="B30" s="28">
        <v>32905.71</v>
      </c>
      <c r="C30" s="28">
        <v>25338.39</v>
      </c>
      <c r="D30" s="28">
        <v>16765.61</v>
      </c>
      <c r="E30" s="29">
        <v>10847.08</v>
      </c>
      <c r="I30" s="9" t="str">
        <f t="shared" si="0"/>
        <v>Total Long Term Debt</v>
      </c>
      <c r="J30" s="18">
        <f t="shared" si="1"/>
        <v>0.20125788202255127</v>
      </c>
      <c r="K30" s="18">
        <f t="shared" si="3"/>
        <v>0.19313581870361041</v>
      </c>
      <c r="L30" s="19">
        <f t="shared" si="8"/>
        <v>0.16070430496455193</v>
      </c>
      <c r="M30" s="20">
        <f t="shared" si="4"/>
        <v>0.12319357830809569</v>
      </c>
      <c r="O30" s="9" t="str">
        <f t="shared" si="2"/>
        <v>Total Long Term Debt</v>
      </c>
      <c r="P30" s="19">
        <f t="shared" si="5"/>
        <v>2.0336007478510343</v>
      </c>
      <c r="Q30" s="19">
        <f t="shared" si="6"/>
        <v>1.3359641488769327</v>
      </c>
      <c r="R30" s="19">
        <f t="shared" si="7"/>
        <v>0.5456334792404961</v>
      </c>
      <c r="S30" s="20"/>
    </row>
    <row r="31" spans="1:19" ht="21" customHeight="1">
      <c r="A31" s="9" t="s">
        <v>22</v>
      </c>
      <c r="B31" s="28">
        <v>32905.71</v>
      </c>
      <c r="C31" s="28">
        <v>25338.39</v>
      </c>
      <c r="D31" s="28">
        <v>16765.61</v>
      </c>
      <c r="E31" s="29">
        <v>10847.08</v>
      </c>
      <c r="I31" s="9" t="str">
        <f t="shared" si="0"/>
        <v>Long Term Debt</v>
      </c>
      <c r="J31" s="18">
        <f t="shared" si="1"/>
        <v>0.20125788202255127</v>
      </c>
      <c r="K31" s="18">
        <f t="shared" si="3"/>
        <v>0.19313581870361041</v>
      </c>
      <c r="L31" s="19">
        <f t="shared" si="8"/>
        <v>0.16070430496455193</v>
      </c>
      <c r="M31" s="20">
        <f t="shared" si="4"/>
        <v>0.12319357830809569</v>
      </c>
      <c r="O31" s="9" t="str">
        <f t="shared" si="2"/>
        <v>Long Term Debt</v>
      </c>
      <c r="P31" s="19">
        <f t="shared" si="5"/>
        <v>2.0336007478510343</v>
      </c>
      <c r="Q31" s="19">
        <f t="shared" si="6"/>
        <v>1.3359641488769327</v>
      </c>
      <c r="R31" s="19">
        <f t="shared" si="7"/>
        <v>0.5456334792404961</v>
      </c>
      <c r="S31" s="20"/>
    </row>
    <row r="32" spans="1:19" ht="30.75" customHeight="1">
      <c r="A32" s="9" t="s">
        <v>23</v>
      </c>
      <c r="B32" s="28">
        <v>0</v>
      </c>
      <c r="C32" s="28">
        <v>0</v>
      </c>
      <c r="D32" s="28">
        <v>0</v>
      </c>
      <c r="E32" s="29">
        <v>0</v>
      </c>
      <c r="I32" s="9" t="str">
        <f t="shared" si="0"/>
        <v>Capital Lease Obligations</v>
      </c>
      <c r="J32" s="18">
        <f t="shared" si="1"/>
        <v>0</v>
      </c>
      <c r="K32" s="18">
        <f t="shared" si="3"/>
        <v>0</v>
      </c>
      <c r="L32" s="19">
        <f t="shared" si="8"/>
        <v>0</v>
      </c>
      <c r="M32" s="20">
        <f t="shared" si="4"/>
        <v>0</v>
      </c>
      <c r="O32" s="9" t="str">
        <f t="shared" si="2"/>
        <v>Capital Lease Obligations</v>
      </c>
      <c r="P32" s="19">
        <v>0</v>
      </c>
      <c r="Q32" s="19">
        <v>0</v>
      </c>
      <c r="R32" s="19">
        <v>0</v>
      </c>
      <c r="S32" s="20"/>
    </row>
    <row r="33" spans="1:19">
      <c r="A33" s="9" t="s">
        <v>24</v>
      </c>
      <c r="B33" s="28">
        <v>37218.410000000003</v>
      </c>
      <c r="C33" s="28">
        <v>38411.050000000003</v>
      </c>
      <c r="D33" s="28">
        <v>25752.66</v>
      </c>
      <c r="E33" s="29">
        <v>19217.25</v>
      </c>
      <c r="I33" s="9" t="str">
        <f t="shared" si="0"/>
        <v>Total Debt</v>
      </c>
      <c r="J33" s="18">
        <f t="shared" si="1"/>
        <v>0.22763521494740405</v>
      </c>
      <c r="K33" s="18">
        <f t="shared" si="3"/>
        <v>0.29277904353888767</v>
      </c>
      <c r="L33" s="19">
        <f t="shared" si="8"/>
        <v>0.24684835960567003</v>
      </c>
      <c r="M33" s="20">
        <f t="shared" si="4"/>
        <v>0.21825613831014909</v>
      </c>
      <c r="O33" s="9" t="str">
        <f t="shared" si="2"/>
        <v>Total Debt</v>
      </c>
      <c r="P33" s="19">
        <f t="shared" si="5"/>
        <v>0.93671883333983808</v>
      </c>
      <c r="Q33" s="19">
        <f t="shared" si="6"/>
        <v>0.99877974215873777</v>
      </c>
      <c r="R33" s="19">
        <f t="shared" si="7"/>
        <v>0.34008039651875266</v>
      </c>
      <c r="S33" s="20"/>
    </row>
    <row r="34" spans="1:19" ht="27" customHeight="1">
      <c r="A34" s="9" t="s">
        <v>25</v>
      </c>
      <c r="B34" s="28">
        <v>0</v>
      </c>
      <c r="C34" s="28">
        <v>48.75</v>
      </c>
      <c r="D34" s="28">
        <v>0</v>
      </c>
      <c r="E34" s="29">
        <v>0</v>
      </c>
      <c r="I34" s="9" t="str">
        <f t="shared" si="0"/>
        <v>Deferred Income Tax</v>
      </c>
      <c r="J34" s="18">
        <f t="shared" si="1"/>
        <v>0</v>
      </c>
      <c r="K34" s="18">
        <f t="shared" si="3"/>
        <v>3.715852176006845E-4</v>
      </c>
      <c r="L34" s="19">
        <f t="shared" si="8"/>
        <v>0</v>
      </c>
      <c r="M34" s="20">
        <f t="shared" si="4"/>
        <v>0</v>
      </c>
      <c r="O34" s="9" t="str">
        <f t="shared" si="2"/>
        <v>Deferred Income Tax</v>
      </c>
      <c r="P34" s="19">
        <v>0</v>
      </c>
      <c r="Q34" s="19">
        <v>0</v>
      </c>
      <c r="R34" s="19">
        <v>0</v>
      </c>
      <c r="S34" s="20"/>
    </row>
    <row r="35" spans="1:19">
      <c r="A35" s="9" t="s">
        <v>26</v>
      </c>
      <c r="B35" s="32">
        <v>6.79</v>
      </c>
      <c r="C35" s="32">
        <v>6.29</v>
      </c>
      <c r="D35" s="32">
        <v>5.73</v>
      </c>
      <c r="E35" s="29">
        <v>189.23</v>
      </c>
      <c r="I35" s="9" t="str">
        <f t="shared" si="0"/>
        <v>Minority Interest</v>
      </c>
      <c r="J35" s="18">
        <f t="shared" si="1"/>
        <v>4.1528993567776629E-5</v>
      </c>
      <c r="K35" s="18">
        <f t="shared" si="3"/>
        <v>4.7944020896580629E-5</v>
      </c>
      <c r="L35" s="19">
        <f t="shared" si="8"/>
        <v>5.4924077766742906E-5</v>
      </c>
      <c r="M35" s="20">
        <f t="shared" si="4"/>
        <v>2.1491425179164295E-3</v>
      </c>
      <c r="O35" s="9" t="str">
        <f t="shared" si="2"/>
        <v>Minority Interest</v>
      </c>
      <c r="P35" s="19">
        <f t="shared" si="5"/>
        <v>-0.9641177403160176</v>
      </c>
      <c r="Q35" s="19">
        <f t="shared" si="6"/>
        <v>-0.96676002747978651</v>
      </c>
      <c r="R35" s="19">
        <f t="shared" si="7"/>
        <v>-0.96971938910320776</v>
      </c>
      <c r="S35" s="20"/>
    </row>
    <row r="36" spans="1:19" ht="15.75" thickBot="1">
      <c r="A36" s="9" t="s">
        <v>27</v>
      </c>
      <c r="B36" s="28">
        <v>19358.63</v>
      </c>
      <c r="C36" s="28">
        <v>5618.57</v>
      </c>
      <c r="D36" s="28">
        <v>5887.07</v>
      </c>
      <c r="E36" s="29">
        <v>5386.87</v>
      </c>
      <c r="I36" s="9" t="str">
        <f t="shared" si="0"/>
        <v>Other Liabilities, Total</v>
      </c>
      <c r="J36" s="18">
        <f t="shared" si="1"/>
        <v>0.11840124016950924</v>
      </c>
      <c r="K36" s="18">
        <f t="shared" si="3"/>
        <v>4.2826206278044676E-2</v>
      </c>
      <c r="L36" s="19">
        <f t="shared" si="8"/>
        <v>5.6429649301615904E-2</v>
      </c>
      <c r="M36" s="20">
        <f t="shared" si="4"/>
        <v>6.1180316839235208E-2</v>
      </c>
      <c r="O36" s="9" t="str">
        <f t="shared" si="2"/>
        <v>Other Liabilities, Total</v>
      </c>
      <c r="P36" s="19">
        <f t="shared" si="5"/>
        <v>2.5936694221319621</v>
      </c>
      <c r="Q36" s="19">
        <f t="shared" si="6"/>
        <v>4.3011990265218916E-2</v>
      </c>
      <c r="R36" s="19">
        <f t="shared" si="7"/>
        <v>9.2855405829359139E-2</v>
      </c>
      <c r="S36" s="20"/>
    </row>
    <row r="37" spans="1:19" ht="15.75" thickBot="1">
      <c r="A37" s="7" t="s">
        <v>28</v>
      </c>
      <c r="B37" s="24">
        <v>14596.65</v>
      </c>
      <c r="C37" s="24">
        <v>12422.05</v>
      </c>
      <c r="D37" s="24">
        <v>10298.049999999999</v>
      </c>
      <c r="E37" s="25">
        <v>9216.26</v>
      </c>
      <c r="I37" s="7" t="str">
        <f t="shared" si="0"/>
        <v>Total Equity</v>
      </c>
      <c r="J37" s="14">
        <f t="shared" si="1"/>
        <v>8.9276021201927347E-2</v>
      </c>
      <c r="K37" s="14">
        <f t="shared" si="3"/>
        <v>9.4684105688135026E-2</v>
      </c>
      <c r="L37" s="14">
        <f t="shared" si="8"/>
        <v>9.8710453585655625E-2</v>
      </c>
      <c r="M37" s="15">
        <f t="shared" si="4"/>
        <v>0.10467186081579283</v>
      </c>
      <c r="O37" s="7" t="str">
        <f t="shared" si="2"/>
        <v>Total Equity</v>
      </c>
      <c r="P37" s="14">
        <f t="shared" si="5"/>
        <v>0.5837932089589486</v>
      </c>
      <c r="Q37" s="14">
        <f t="shared" si="6"/>
        <v>0.34784066421737225</v>
      </c>
      <c r="R37" s="14">
        <f t="shared" si="7"/>
        <v>0.11737841597350758</v>
      </c>
      <c r="S37" s="15"/>
    </row>
    <row r="38" spans="1:19" ht="29.25" thickTop="1">
      <c r="A38" s="8" t="s">
        <v>29</v>
      </c>
      <c r="B38" s="26">
        <v>0</v>
      </c>
      <c r="C38" s="26">
        <v>0</v>
      </c>
      <c r="D38" s="26">
        <v>0</v>
      </c>
      <c r="E38" s="27">
        <v>0</v>
      </c>
      <c r="I38" s="8" t="str">
        <f t="shared" si="0"/>
        <v>Redeemable Preferred Stock, Total</v>
      </c>
      <c r="J38" s="16">
        <f t="shared" si="1"/>
        <v>0</v>
      </c>
      <c r="K38" s="16">
        <f t="shared" si="3"/>
        <v>0</v>
      </c>
      <c r="L38" s="16">
        <f t="shared" si="8"/>
        <v>0</v>
      </c>
      <c r="M38" s="17">
        <f t="shared" si="4"/>
        <v>0</v>
      </c>
      <c r="O38" s="8" t="str">
        <f t="shared" si="2"/>
        <v>Redeemable Preferred Stock, Total</v>
      </c>
      <c r="P38" s="16">
        <v>0</v>
      </c>
      <c r="Q38" s="16">
        <v>0</v>
      </c>
      <c r="R38" s="16">
        <v>0</v>
      </c>
      <c r="S38" s="17"/>
    </row>
    <row r="39" spans="1:19" ht="28.5">
      <c r="A39" s="9" t="s">
        <v>44</v>
      </c>
      <c r="B39" s="28">
        <v>0</v>
      </c>
      <c r="C39" s="28">
        <v>0</v>
      </c>
      <c r="D39" s="28">
        <v>0</v>
      </c>
      <c r="E39" s="29">
        <v>0</v>
      </c>
      <c r="I39" s="9" t="str">
        <f t="shared" si="0"/>
        <v>Preferred Stock 0 Non Redeemable, Net</v>
      </c>
      <c r="J39" s="18">
        <f t="shared" si="1"/>
        <v>0</v>
      </c>
      <c r="K39" s="18">
        <f t="shared" si="3"/>
        <v>0</v>
      </c>
      <c r="L39" s="19">
        <f t="shared" si="8"/>
        <v>0</v>
      </c>
      <c r="M39" s="20">
        <f t="shared" si="4"/>
        <v>0</v>
      </c>
      <c r="O39" s="9" t="str">
        <f t="shared" si="2"/>
        <v>Preferred Stock 0 Non Redeemable, Net</v>
      </c>
      <c r="P39" s="19">
        <v>0</v>
      </c>
      <c r="Q39" s="19">
        <v>0</v>
      </c>
      <c r="R39" s="19">
        <v>0</v>
      </c>
      <c r="S39" s="20"/>
    </row>
    <row r="40" spans="1:19">
      <c r="A40" s="9" t="s">
        <v>30</v>
      </c>
      <c r="B40" s="28">
        <v>3350</v>
      </c>
      <c r="C40" s="28">
        <v>3350</v>
      </c>
      <c r="D40" s="28">
        <v>3150</v>
      </c>
      <c r="E40" s="29">
        <v>3000</v>
      </c>
      <c r="I40" s="9" t="str">
        <f t="shared" si="0"/>
        <v>Common Stock, Total</v>
      </c>
      <c r="J40" s="18">
        <f t="shared" si="1"/>
        <v>2.04892678132624E-2</v>
      </c>
      <c r="K40" s="18">
        <f t="shared" si="3"/>
        <v>2.5534573927431654E-2</v>
      </c>
      <c r="L40" s="19">
        <f t="shared" si="8"/>
        <v>3.0193864740879608E-2</v>
      </c>
      <c r="M40" s="20">
        <f t="shared" si="4"/>
        <v>3.4071910129204089E-2</v>
      </c>
      <c r="O40" s="9" t="str">
        <f t="shared" si="2"/>
        <v>Common Stock, Total</v>
      </c>
      <c r="P40" s="19">
        <f t="shared" si="5"/>
        <v>0.11666666666666667</v>
      </c>
      <c r="Q40" s="19">
        <f t="shared" si="6"/>
        <v>0.11666666666666667</v>
      </c>
      <c r="R40" s="19">
        <f t="shared" si="7"/>
        <v>0.05</v>
      </c>
      <c r="S40" s="20"/>
    </row>
    <row r="41" spans="1:19" ht="28.5">
      <c r="A41" s="9" t="s">
        <v>45</v>
      </c>
      <c r="B41" s="28">
        <v>0.71</v>
      </c>
      <c r="C41" s="28">
        <v>0.71</v>
      </c>
      <c r="D41" s="28">
        <v>0.71</v>
      </c>
      <c r="E41" s="29">
        <v>0.71</v>
      </c>
      <c r="I41" s="9" t="str">
        <f t="shared" si="0"/>
        <v>Additional Paid0In Capital</v>
      </c>
      <c r="J41" s="18">
        <f t="shared" si="1"/>
        <v>4.3425015365421807E-6</v>
      </c>
      <c r="K41" s="18">
        <f t="shared" si="3"/>
        <v>5.4118052204407378E-6</v>
      </c>
      <c r="L41" s="19">
        <f t="shared" si="8"/>
        <v>6.8056012590554029E-6</v>
      </c>
      <c r="M41" s="20">
        <f t="shared" si="4"/>
        <v>8.0636853972449668E-6</v>
      </c>
      <c r="O41" s="9" t="str">
        <f t="shared" si="2"/>
        <v>Additional Paid0In Capital</v>
      </c>
      <c r="P41" s="19">
        <f t="shared" si="5"/>
        <v>0</v>
      </c>
      <c r="Q41" s="19">
        <f t="shared" si="6"/>
        <v>0</v>
      </c>
      <c r="R41" s="19">
        <f t="shared" si="7"/>
        <v>0</v>
      </c>
      <c r="S41" s="20"/>
    </row>
    <row r="42" spans="1:19" ht="28.5">
      <c r="A42" s="9" t="s">
        <v>31</v>
      </c>
      <c r="B42" s="28">
        <v>11353.78</v>
      </c>
      <c r="C42" s="28">
        <v>9137.3700000000008</v>
      </c>
      <c r="D42" s="28">
        <v>7565.59</v>
      </c>
      <c r="E42" s="29">
        <v>6424.3</v>
      </c>
      <c r="I42" s="9" t="str">
        <f t="shared" si="0"/>
        <v>Retained Earnings (Accumulated Deficit)</v>
      </c>
      <c r="J42" s="18">
        <f t="shared" si="1"/>
        <v>6.9441981824735044E-2</v>
      </c>
      <c r="K42" s="18">
        <f t="shared" si="3"/>
        <v>6.9647417840983938E-2</v>
      </c>
      <c r="L42" s="19">
        <f t="shared" si="8"/>
        <v>7.2518857506333759E-2</v>
      </c>
      <c r="M42" s="20">
        <f t="shared" si="4"/>
        <v>7.2962724081015271E-2</v>
      </c>
      <c r="O42" s="9" t="str">
        <f t="shared" si="2"/>
        <v>Retained Earnings (Accumulated Deficit)</v>
      </c>
      <c r="P42" s="19">
        <f t="shared" si="5"/>
        <v>0.7673178400759616</v>
      </c>
      <c r="Q42" s="19">
        <f t="shared" si="6"/>
        <v>0.4223137151129307</v>
      </c>
      <c r="R42" s="19">
        <f t="shared" si="7"/>
        <v>0.17765203991096304</v>
      </c>
      <c r="S42" s="20"/>
    </row>
    <row r="43" spans="1:19" ht="28.5">
      <c r="A43" s="9" t="s">
        <v>46</v>
      </c>
      <c r="B43" s="28">
        <v>0</v>
      </c>
      <c r="C43" s="28">
        <v>0</v>
      </c>
      <c r="D43" s="28">
        <v>0</v>
      </c>
      <c r="E43" s="29">
        <v>0</v>
      </c>
      <c r="I43" s="9" t="str">
        <f t="shared" si="0"/>
        <v>Treasury Stock 0 Common</v>
      </c>
      <c r="J43" s="18">
        <f t="shared" si="1"/>
        <v>0</v>
      </c>
      <c r="K43" s="18">
        <f t="shared" si="3"/>
        <v>0</v>
      </c>
      <c r="L43" s="19">
        <f t="shared" si="8"/>
        <v>0</v>
      </c>
      <c r="M43" s="20">
        <f t="shared" si="4"/>
        <v>0</v>
      </c>
      <c r="O43" s="9" t="str">
        <f t="shared" si="2"/>
        <v>Treasury Stock 0 Common</v>
      </c>
      <c r="P43" s="19">
        <v>0</v>
      </c>
      <c r="Q43" s="19">
        <v>0</v>
      </c>
      <c r="R43" s="19">
        <v>0</v>
      </c>
      <c r="S43" s="20"/>
    </row>
    <row r="44" spans="1:19">
      <c r="A44" s="9" t="s">
        <v>32</v>
      </c>
      <c r="B44" s="28">
        <v>0</v>
      </c>
      <c r="C44" s="28">
        <v>0</v>
      </c>
      <c r="D44" s="28">
        <v>0</v>
      </c>
      <c r="E44" s="29">
        <v>0</v>
      </c>
      <c r="I44" s="9" t="str">
        <f t="shared" si="0"/>
        <v>ESOP Debt Guarantee</v>
      </c>
      <c r="J44" s="18">
        <f t="shared" si="1"/>
        <v>0</v>
      </c>
      <c r="K44" s="18">
        <f t="shared" si="3"/>
        <v>0</v>
      </c>
      <c r="L44" s="19">
        <f t="shared" si="8"/>
        <v>0</v>
      </c>
      <c r="M44" s="20">
        <f t="shared" si="4"/>
        <v>0</v>
      </c>
      <c r="O44" s="9" t="str">
        <f t="shared" si="2"/>
        <v>ESOP Debt Guarantee</v>
      </c>
      <c r="P44" s="19">
        <v>0</v>
      </c>
      <c r="Q44" s="19">
        <v>0</v>
      </c>
      <c r="R44" s="19">
        <v>0</v>
      </c>
      <c r="S44" s="20"/>
    </row>
    <row r="45" spans="1:19">
      <c r="A45" s="9" t="s">
        <v>33</v>
      </c>
      <c r="B45" s="28">
        <v>0</v>
      </c>
      <c r="C45" s="28">
        <v>229.57</v>
      </c>
      <c r="D45" s="28">
        <f>420.15</f>
        <v>420.15</v>
      </c>
      <c r="E45" s="28">
        <f>244.26</f>
        <v>244.26</v>
      </c>
      <c r="I45" s="9" t="str">
        <f t="shared" si="0"/>
        <v>Unrealized Gain (Loss)</v>
      </c>
      <c r="J45" s="18">
        <f t="shared" si="1"/>
        <v>0</v>
      </c>
      <c r="K45" s="18">
        <f t="shared" si="3"/>
        <v>1.7498424288120849E-3</v>
      </c>
      <c r="L45" s="19">
        <f t="shared" si="8"/>
        <v>4.0272864352001794E-3</v>
      </c>
      <c r="M45" s="20">
        <f t="shared" si="4"/>
        <v>2.7741349227197966E-3</v>
      </c>
      <c r="O45" s="9" t="str">
        <f t="shared" si="2"/>
        <v>Unrealized Gain (Loss)</v>
      </c>
      <c r="P45" s="19">
        <f t="shared" si="5"/>
        <v>-1</v>
      </c>
      <c r="Q45" s="19">
        <f t="shared" si="6"/>
        <v>-6.0140833538033234E-2</v>
      </c>
      <c r="R45" s="19">
        <f t="shared" si="7"/>
        <v>0.72009334315892903</v>
      </c>
      <c r="S45" s="20"/>
    </row>
    <row r="46" spans="1:19" ht="15.75" thickBot="1">
      <c r="A46" s="9" t="s">
        <v>34</v>
      </c>
      <c r="B46" s="28">
        <f>107.84</f>
        <v>107.84</v>
      </c>
      <c r="C46" s="28">
        <v>163.53</v>
      </c>
      <c r="D46" s="33">
        <v>1.9</v>
      </c>
      <c r="E46" s="29">
        <v>35.5</v>
      </c>
      <c r="I46" s="9" t="str">
        <f t="shared" si="0"/>
        <v>Other Equity, Total</v>
      </c>
      <c r="J46" s="18">
        <f t="shared" si="1"/>
        <v>6.5957093760663204E-4</v>
      </c>
      <c r="K46" s="18">
        <f t="shared" si="3"/>
        <v>1.2464683207023576E-3</v>
      </c>
      <c r="L46" s="23">
        <f t="shared" si="8"/>
        <v>1.82121723833877E-5</v>
      </c>
      <c r="M46" s="20">
        <f t="shared" si="4"/>
        <v>4.0318426986224839E-4</v>
      </c>
      <c r="O46" s="9" t="str">
        <f t="shared" si="2"/>
        <v>Other Equity, Total</v>
      </c>
      <c r="P46" s="23">
        <f t="shared" si="5"/>
        <v>2.0377464788732396</v>
      </c>
      <c r="Q46" s="23">
        <f t="shared" si="6"/>
        <v>3.6064788732394368</v>
      </c>
      <c r="R46" s="23">
        <f t="shared" si="7"/>
        <v>-0.94647887323943669</v>
      </c>
      <c r="S46" s="20"/>
    </row>
    <row r="47" spans="1:19" ht="30.75" thickBot="1">
      <c r="A47" s="10" t="s">
        <v>35</v>
      </c>
      <c r="B47" s="30">
        <v>163500.23000000001</v>
      </c>
      <c r="C47" s="30">
        <v>131194.67000000001</v>
      </c>
      <c r="D47" s="30">
        <v>104325.83</v>
      </c>
      <c r="E47" s="31">
        <v>88049.07</v>
      </c>
      <c r="I47" s="7" t="str">
        <f t="shared" si="0"/>
        <v>Total Liabilities &amp; Shareholders' Equity</v>
      </c>
      <c r="J47" s="14">
        <f t="shared" si="1"/>
        <v>1</v>
      </c>
      <c r="K47" s="14">
        <f t="shared" si="3"/>
        <v>1</v>
      </c>
      <c r="L47" s="14">
        <f t="shared" si="8"/>
        <v>1</v>
      </c>
      <c r="M47" s="15">
        <f t="shared" si="4"/>
        <v>1</v>
      </c>
      <c r="O47" s="7" t="str">
        <f t="shared" si="2"/>
        <v>Total Liabilities &amp; Shareholders' Equity</v>
      </c>
      <c r="P47" s="14">
        <f t="shared" si="5"/>
        <v>0.85692171422139951</v>
      </c>
      <c r="Q47" s="14">
        <f t="shared" si="6"/>
        <v>0.49001766855686268</v>
      </c>
      <c r="R47" s="14">
        <f t="shared" si="7"/>
        <v>0.18486010130487457</v>
      </c>
      <c r="S47" s="15"/>
    </row>
    <row r="48" spans="1:19" ht="30.75" thickBot="1">
      <c r="A48" s="10" t="s">
        <v>36</v>
      </c>
      <c r="B48" s="30">
        <v>3350</v>
      </c>
      <c r="C48" s="30">
        <v>3350</v>
      </c>
      <c r="D48" s="30">
        <v>3349.99</v>
      </c>
      <c r="E48" s="31">
        <v>3350</v>
      </c>
      <c r="I48" s="7" t="str">
        <f t="shared" si="0"/>
        <v>Total Common Shares Outstanding</v>
      </c>
      <c r="J48" s="14">
        <f t="shared" si="1"/>
        <v>2.04892678132624E-2</v>
      </c>
      <c r="K48" s="14">
        <f t="shared" si="3"/>
        <v>2.5534573927431654E-2</v>
      </c>
      <c r="L48" s="14">
        <f t="shared" si="8"/>
        <v>3.2110839664539453E-2</v>
      </c>
      <c r="M48" s="15">
        <f t="shared" si="4"/>
        <v>3.8046966310944563E-2</v>
      </c>
      <c r="O48" s="7" t="str">
        <f t="shared" si="2"/>
        <v>Total Common Shares Outstanding</v>
      </c>
      <c r="P48" s="14">
        <f t="shared" si="5"/>
        <v>0</v>
      </c>
      <c r="Q48" s="14">
        <f t="shared" si="6"/>
        <v>0</v>
      </c>
      <c r="R48" s="14">
        <f t="shared" si="7"/>
        <v>-2.9850746269308296E-6</v>
      </c>
      <c r="S48" s="15"/>
    </row>
    <row r="49" spans="1:19" ht="30.75" thickBot="1">
      <c r="A49" s="11" t="s">
        <v>37</v>
      </c>
      <c r="B49" s="34">
        <v>0</v>
      </c>
      <c r="C49" s="34">
        <v>0</v>
      </c>
      <c r="D49" s="34">
        <v>0</v>
      </c>
      <c r="E49" s="35">
        <v>0</v>
      </c>
      <c r="I49" s="7" t="str">
        <f t="shared" si="0"/>
        <v>Total Preferred Shares Outstanding</v>
      </c>
      <c r="J49" s="14">
        <f t="shared" si="1"/>
        <v>0</v>
      </c>
      <c r="K49" s="14">
        <f t="shared" si="3"/>
        <v>0</v>
      </c>
      <c r="L49" s="14">
        <f t="shared" si="8"/>
        <v>0</v>
      </c>
      <c r="M49" s="15">
        <f t="shared" si="4"/>
        <v>0</v>
      </c>
      <c r="O49" s="7" t="str">
        <f t="shared" si="2"/>
        <v>Total Preferred Shares Outstanding</v>
      </c>
      <c r="P49" s="14">
        <v>0</v>
      </c>
      <c r="Q49" s="14">
        <v>0</v>
      </c>
      <c r="R49" s="14">
        <v>0</v>
      </c>
      <c r="S49" s="15"/>
    </row>
    <row r="50" spans="1:19" ht="22.5">
      <c r="A50" s="1" t="s">
        <v>38</v>
      </c>
      <c r="B50" s="12"/>
      <c r="C50" s="12"/>
      <c r="D50" s="12"/>
      <c r="E50" s="12"/>
      <c r="I50" s="1" t="str">
        <f t="shared" si="0"/>
        <v>* In Millions of TRY (except for per share items)</v>
      </c>
      <c r="J50" s="13"/>
      <c r="K50" s="13"/>
      <c r="L50" s="13"/>
      <c r="M50" s="13"/>
      <c r="O50" s="1"/>
    </row>
  </sheetData>
  <mergeCells count="6">
    <mergeCell ref="U4:Y4"/>
    <mergeCell ref="A5:A6"/>
    <mergeCell ref="A4:E4"/>
    <mergeCell ref="I4:M4"/>
    <mergeCell ref="I5:I6"/>
    <mergeCell ref="O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8A32-52A4-4F0C-9A9C-4C2F4F2797F8}">
  <dimension ref="A3:W31"/>
  <sheetViews>
    <sheetView tabSelected="1" zoomScale="71" zoomScaleNormal="71" workbookViewId="0">
      <selection activeCell="S20" sqref="S20"/>
    </sheetView>
  </sheetViews>
  <sheetFormatPr defaultRowHeight="15"/>
  <cols>
    <col min="1" max="1" width="29.140625" style="12" customWidth="1"/>
    <col min="7" max="7" width="28" customWidth="1"/>
    <col min="13" max="13" width="32" customWidth="1"/>
  </cols>
  <sheetData>
    <row r="3" spans="1:23" ht="19.5" customHeight="1" thickBot="1">
      <c r="A3" s="118" t="s">
        <v>70</v>
      </c>
      <c r="B3" s="118"/>
      <c r="C3" s="118"/>
      <c r="D3" s="118"/>
      <c r="E3" s="118"/>
      <c r="G3" s="118" t="s">
        <v>41</v>
      </c>
      <c r="H3" s="118"/>
      <c r="I3" s="118"/>
      <c r="J3" s="118"/>
      <c r="K3" s="118"/>
      <c r="M3" s="118" t="s">
        <v>73</v>
      </c>
      <c r="N3" s="118"/>
      <c r="O3" s="118"/>
      <c r="P3" s="118"/>
      <c r="Q3" s="118"/>
      <c r="S3" s="114" t="s">
        <v>224</v>
      </c>
      <c r="T3" s="115"/>
      <c r="U3" s="115"/>
      <c r="V3" s="115"/>
      <c r="W3" s="115"/>
    </row>
    <row r="4" spans="1:23" ht="15" customHeight="1">
      <c r="A4" s="116" t="s">
        <v>11</v>
      </c>
      <c r="B4" s="46">
        <v>2018</v>
      </c>
      <c r="C4" s="46">
        <v>2017</v>
      </c>
      <c r="D4" s="46">
        <v>2016</v>
      </c>
      <c r="E4" s="47">
        <v>2015</v>
      </c>
      <c r="G4" s="116" t="s">
        <v>11</v>
      </c>
      <c r="H4" s="46">
        <v>2018</v>
      </c>
      <c r="I4" s="46">
        <v>2017</v>
      </c>
      <c r="J4" s="46">
        <v>2016</v>
      </c>
      <c r="K4" s="47">
        <v>2015</v>
      </c>
      <c r="M4" s="116" t="s">
        <v>11</v>
      </c>
      <c r="N4" s="46">
        <v>2018</v>
      </c>
      <c r="O4" s="46">
        <v>2017</v>
      </c>
      <c r="P4" s="46">
        <v>2016</v>
      </c>
      <c r="Q4" s="47">
        <v>2015</v>
      </c>
      <c r="S4" s="109" t="s">
        <v>228</v>
      </c>
      <c r="T4" s="109" t="str">
        <f ca="1">_xlfn.FORMULATEXT(H8)</f>
        <v>=B8/$B$7</v>
      </c>
      <c r="U4" s="109"/>
      <c r="V4" s="109"/>
      <c r="W4" s="109"/>
    </row>
    <row r="5" spans="1:23" ht="15.75" thickBot="1">
      <c r="A5" s="117"/>
      <c r="B5" s="110">
        <v>43465</v>
      </c>
      <c r="C5" s="110">
        <v>43100</v>
      </c>
      <c r="D5" s="110">
        <v>42735</v>
      </c>
      <c r="E5" s="110">
        <v>42369</v>
      </c>
      <c r="G5" s="117"/>
      <c r="H5" s="110">
        <v>43465</v>
      </c>
      <c r="I5" s="110">
        <v>43100</v>
      </c>
      <c r="J5" s="110">
        <v>42735</v>
      </c>
      <c r="K5" s="110">
        <v>42369</v>
      </c>
      <c r="M5" s="117"/>
      <c r="N5" s="110">
        <v>43465</v>
      </c>
      <c r="O5" s="110">
        <v>43100</v>
      </c>
      <c r="P5" s="110">
        <v>42735</v>
      </c>
      <c r="Q5" s="110">
        <v>42369</v>
      </c>
      <c r="S5" s="109" t="s">
        <v>229</v>
      </c>
      <c r="T5" s="109" t="str">
        <f ca="1">_xlfn.FORMULATEXT(I8)</f>
        <v>=C8/$C$7</v>
      </c>
      <c r="U5" s="109"/>
      <c r="V5" s="109"/>
      <c r="W5" s="109"/>
    </row>
    <row r="6" spans="1:23" ht="16.5" thickTop="1" thickBot="1">
      <c r="A6" s="51" t="s">
        <v>48</v>
      </c>
      <c r="B6" s="48">
        <v>7877.78</v>
      </c>
      <c r="C6" s="48">
        <v>5813.75</v>
      </c>
      <c r="D6" s="48">
        <v>4674.17</v>
      </c>
      <c r="E6" s="49">
        <v>3332.14</v>
      </c>
      <c r="G6" s="51" t="s">
        <v>48</v>
      </c>
      <c r="H6" s="58">
        <f>B6/$B$7</f>
        <v>0.45842171203585541</v>
      </c>
      <c r="I6" s="58">
        <f>C6/$C$7</f>
        <v>0.50986402164428135</v>
      </c>
      <c r="J6" s="58">
        <f>D6/$D$7</f>
        <v>0.51760501772904355</v>
      </c>
      <c r="K6" s="63">
        <f>E6/$E$7</f>
        <v>0.47031109517753777</v>
      </c>
      <c r="M6" s="51" t="s">
        <v>48</v>
      </c>
      <c r="N6" s="58">
        <f>(B6-E6)/E6</f>
        <v>1.3641803765748137</v>
      </c>
      <c r="O6" s="58">
        <f>(C6-E6)/E6</f>
        <v>0.74474962036409043</v>
      </c>
      <c r="P6" s="58">
        <f>(D6-E6)/E6</f>
        <v>0.40275318564045937</v>
      </c>
      <c r="Q6" s="63"/>
      <c r="S6" s="109"/>
      <c r="T6" s="109"/>
      <c r="U6" s="109"/>
      <c r="V6" s="109"/>
      <c r="W6" s="109"/>
    </row>
    <row r="7" spans="1:23" ht="16.5" thickTop="1" thickBot="1">
      <c r="A7" s="51" t="s">
        <v>72</v>
      </c>
      <c r="B7" s="48">
        <f>B8</f>
        <v>17184.57</v>
      </c>
      <c r="C7" s="48">
        <f>C8</f>
        <v>11402.55</v>
      </c>
      <c r="D7" s="48">
        <f>D8</f>
        <v>9030.3799999999992</v>
      </c>
      <c r="E7" s="48">
        <f>E8</f>
        <v>7084.97</v>
      </c>
      <c r="G7" s="51" t="s">
        <v>72</v>
      </c>
      <c r="H7" s="58">
        <f>B7/$B$7</f>
        <v>1</v>
      </c>
      <c r="I7" s="58">
        <f>C7/$C$7</f>
        <v>1</v>
      </c>
      <c r="J7" s="58">
        <f>D7/$D$7</f>
        <v>1</v>
      </c>
      <c r="K7" s="63">
        <f>E7/$E$7</f>
        <v>1</v>
      </c>
      <c r="M7" s="51" t="s">
        <v>72</v>
      </c>
      <c r="N7" s="58">
        <f t="shared" ref="N7:N30" si="0">(B7-E7)/E7</f>
        <v>1.4254965088066707</v>
      </c>
      <c r="O7" s="58">
        <f t="shared" ref="O7:O30" si="1">(C7-E7)/E7</f>
        <v>0.6093998986587098</v>
      </c>
      <c r="P7" s="58">
        <f t="shared" ref="P7:P30" si="2">(D7-E7)/E7</f>
        <v>0.27458267289769739</v>
      </c>
      <c r="Q7" s="63"/>
      <c r="S7" s="109" t="s">
        <v>230</v>
      </c>
      <c r="T7" s="109" t="str">
        <f ca="1">_xlfn.FORMULATEXT(N8)</f>
        <v>=(B8-E8)/E8</v>
      </c>
      <c r="U7" s="109"/>
      <c r="V7" s="109"/>
      <c r="W7" s="109"/>
    </row>
    <row r="8" spans="1:23" ht="15.75" thickTop="1">
      <c r="A8" s="52" t="s">
        <v>49</v>
      </c>
      <c r="B8" s="36">
        <v>17184.57</v>
      </c>
      <c r="C8" s="36">
        <v>11402.55</v>
      </c>
      <c r="D8" s="36">
        <v>9030.3799999999992</v>
      </c>
      <c r="E8" s="37">
        <v>7084.97</v>
      </c>
      <c r="G8" s="52" t="s">
        <v>49</v>
      </c>
      <c r="H8" s="59">
        <f t="shared" ref="H8:H30" si="3">B8/$B$7</f>
        <v>1</v>
      </c>
      <c r="I8" s="59">
        <f t="shared" ref="I8:I30" si="4">C8/$C$7</f>
        <v>1</v>
      </c>
      <c r="J8" s="59">
        <f t="shared" ref="J8:J30" si="5">D8/$D$7</f>
        <v>1</v>
      </c>
      <c r="K8" s="64">
        <f t="shared" ref="K8:K30" si="6">E8/$E$7</f>
        <v>1</v>
      </c>
      <c r="M8" s="52" t="s">
        <v>49</v>
      </c>
      <c r="N8" s="59">
        <f t="shared" si="0"/>
        <v>1.4254965088066707</v>
      </c>
      <c r="O8" s="59">
        <f t="shared" si="1"/>
        <v>0.6093998986587098</v>
      </c>
      <c r="P8" s="59">
        <f t="shared" si="2"/>
        <v>0.27458267289769739</v>
      </c>
      <c r="Q8" s="64"/>
      <c r="S8" s="109" t="s">
        <v>231</v>
      </c>
      <c r="T8" s="109" t="str">
        <f ca="1">_xlfn.FORMULATEXT(O8)</f>
        <v>=(C8-E8)/E8</v>
      </c>
      <c r="U8" s="109"/>
      <c r="V8" s="109"/>
      <c r="W8" s="109"/>
    </row>
    <row r="9" spans="1:23" ht="15.75" thickBot="1">
      <c r="A9" s="53" t="s">
        <v>50</v>
      </c>
      <c r="B9" s="38">
        <v>9306.7900000000009</v>
      </c>
      <c r="C9" s="38">
        <v>5588.8</v>
      </c>
      <c r="D9" s="38">
        <v>4356.21</v>
      </c>
      <c r="E9" s="39">
        <v>3752.83</v>
      </c>
      <c r="G9" s="53" t="s">
        <v>50</v>
      </c>
      <c r="H9" s="60">
        <f t="shared" si="3"/>
        <v>0.54157828796414464</v>
      </c>
      <c r="I9" s="60">
        <f t="shared" si="4"/>
        <v>0.4901359783557187</v>
      </c>
      <c r="J9" s="60">
        <f t="shared" si="5"/>
        <v>0.48239498227095651</v>
      </c>
      <c r="K9" s="65">
        <f t="shared" si="6"/>
        <v>0.52968890482246211</v>
      </c>
      <c r="M9" s="53" t="s">
        <v>50</v>
      </c>
      <c r="N9" s="60">
        <f t="shared" si="0"/>
        <v>1.4799391392629031</v>
      </c>
      <c r="O9" s="60">
        <f t="shared" si="1"/>
        <v>0.48922279986037209</v>
      </c>
      <c r="P9" s="60">
        <f t="shared" si="2"/>
        <v>0.16077999802815479</v>
      </c>
      <c r="Q9" s="65"/>
    </row>
    <row r="10" spans="1:23" ht="15.75" thickBot="1">
      <c r="A10" s="54" t="s">
        <v>51</v>
      </c>
      <c r="B10" s="40">
        <v>2231.3000000000002</v>
      </c>
      <c r="C10" s="40">
        <v>1268.99</v>
      </c>
      <c r="D10" s="40">
        <v>1390.42</v>
      </c>
      <c r="E10" s="41">
        <v>1207.44</v>
      </c>
      <c r="G10" s="54" t="s">
        <v>51</v>
      </c>
      <c r="H10" s="61">
        <f t="shared" si="3"/>
        <v>0.12984322563788331</v>
      </c>
      <c r="I10" s="61">
        <f t="shared" si="4"/>
        <v>0.1112900184607829</v>
      </c>
      <c r="J10" s="61">
        <f t="shared" si="5"/>
        <v>0.15397137219031759</v>
      </c>
      <c r="K10" s="66">
        <f t="shared" si="6"/>
        <v>0.17042273996925886</v>
      </c>
      <c r="M10" s="54" t="s">
        <v>51</v>
      </c>
      <c r="N10" s="61">
        <f t="shared" si="0"/>
        <v>0.84795931888955156</v>
      </c>
      <c r="O10" s="61">
        <f t="shared" si="1"/>
        <v>5.0975617836082912E-2</v>
      </c>
      <c r="P10" s="61">
        <f t="shared" si="2"/>
        <v>0.15154376200887829</v>
      </c>
      <c r="Q10" s="66"/>
    </row>
    <row r="11" spans="1:23" ht="30.75" thickBot="1">
      <c r="A11" s="55" t="s">
        <v>52</v>
      </c>
      <c r="B11" s="40">
        <v>5646.48</v>
      </c>
      <c r="C11" s="40">
        <v>4544.76</v>
      </c>
      <c r="D11" s="40">
        <v>3283.75</v>
      </c>
      <c r="E11" s="41">
        <v>2124.6999999999998</v>
      </c>
      <c r="G11" s="55" t="s">
        <v>52</v>
      </c>
      <c r="H11" s="61">
        <f t="shared" si="3"/>
        <v>0.3285784863979721</v>
      </c>
      <c r="I11" s="61">
        <f t="shared" si="4"/>
        <v>0.39857400318349845</v>
      </c>
      <c r="J11" s="61">
        <f t="shared" si="5"/>
        <v>0.36363364553872596</v>
      </c>
      <c r="K11" s="66">
        <f t="shared" si="6"/>
        <v>0.29988835520827889</v>
      </c>
      <c r="M11" s="55" t="s">
        <v>52</v>
      </c>
      <c r="N11" s="61">
        <f t="shared" si="0"/>
        <v>1.6575422412575893</v>
      </c>
      <c r="O11" s="61">
        <f t="shared" si="1"/>
        <v>1.139012566479974</v>
      </c>
      <c r="P11" s="61">
        <f t="shared" si="2"/>
        <v>0.54551230761989944</v>
      </c>
      <c r="Q11" s="66"/>
    </row>
    <row r="12" spans="1:23" ht="15.75" thickBot="1">
      <c r="A12" s="54" t="s">
        <v>53</v>
      </c>
      <c r="B12" s="40">
        <v>3644.73</v>
      </c>
      <c r="C12" s="40">
        <v>2366.79</v>
      </c>
      <c r="D12" s="40">
        <v>2235.44</v>
      </c>
      <c r="E12" s="41">
        <v>2704.38</v>
      </c>
      <c r="G12" s="54" t="s">
        <v>53</v>
      </c>
      <c r="H12" s="61">
        <f t="shared" si="3"/>
        <v>0.21209317428367425</v>
      </c>
      <c r="I12" s="61">
        <f t="shared" si="4"/>
        <v>0.20756672849494193</v>
      </c>
      <c r="J12" s="61">
        <f t="shared" si="5"/>
        <v>0.24754661487113502</v>
      </c>
      <c r="K12" s="66">
        <f t="shared" si="6"/>
        <v>0.38170662684527951</v>
      </c>
      <c r="M12" s="54" t="s">
        <v>53</v>
      </c>
      <c r="N12" s="61">
        <f t="shared" si="0"/>
        <v>0.34771370887227382</v>
      </c>
      <c r="O12" s="61">
        <f t="shared" si="1"/>
        <v>-0.12483082998691017</v>
      </c>
      <c r="P12" s="61">
        <f t="shared" si="2"/>
        <v>-0.1734001878434244</v>
      </c>
      <c r="Q12" s="66"/>
    </row>
    <row r="13" spans="1:23" ht="15.75" thickBot="1">
      <c r="A13" s="54" t="s">
        <v>54</v>
      </c>
      <c r="B13" s="40">
        <f>6020.28</f>
        <v>6020.28</v>
      </c>
      <c r="C13" s="40">
        <f>4670.17</f>
        <v>4670.17</v>
      </c>
      <c r="D13" s="40">
        <f>3986.17</f>
        <v>3986.17</v>
      </c>
      <c r="E13" s="41">
        <f>3945.02</f>
        <v>3945.02</v>
      </c>
      <c r="G13" s="54" t="s">
        <v>54</v>
      </c>
      <c r="H13" s="61">
        <f t="shared" si="3"/>
        <v>0.35033055816933445</v>
      </c>
      <c r="I13" s="61">
        <f t="shared" si="4"/>
        <v>0.40957242020425261</v>
      </c>
      <c r="J13" s="61">
        <f t="shared" si="5"/>
        <v>0.44141774764738589</v>
      </c>
      <c r="K13" s="66">
        <f t="shared" si="6"/>
        <v>0.5568153429019459</v>
      </c>
      <c r="M13" s="54" t="s">
        <v>54</v>
      </c>
      <c r="N13" s="61">
        <f t="shared" si="0"/>
        <v>0.52604549533335698</v>
      </c>
      <c r="O13" s="61">
        <f t="shared" si="1"/>
        <v>0.18381402375653358</v>
      </c>
      <c r="P13" s="61">
        <f t="shared" si="2"/>
        <v>1.043087234031769E-2</v>
      </c>
      <c r="Q13" s="66"/>
    </row>
    <row r="14" spans="1:23" ht="15.75" thickBot="1">
      <c r="A14" s="55" t="s">
        <v>55</v>
      </c>
      <c r="B14" s="40">
        <v>3270.94</v>
      </c>
      <c r="C14" s="40">
        <v>2241.38</v>
      </c>
      <c r="D14" s="40">
        <v>1533.01</v>
      </c>
      <c r="E14" s="41">
        <v>884.06</v>
      </c>
      <c r="G14" s="55" t="s">
        <v>55</v>
      </c>
      <c r="H14" s="61">
        <f t="shared" si="3"/>
        <v>0.19034168442969479</v>
      </c>
      <c r="I14" s="61">
        <f t="shared" si="4"/>
        <v>0.19656831147418782</v>
      </c>
      <c r="J14" s="61">
        <f t="shared" si="5"/>
        <v>0.16976140538936346</v>
      </c>
      <c r="K14" s="66">
        <f t="shared" si="6"/>
        <v>0.12477963915161248</v>
      </c>
      <c r="M14" s="55" t="s">
        <v>55</v>
      </c>
      <c r="N14" s="61">
        <f t="shared" si="0"/>
        <v>2.6999072461145173</v>
      </c>
      <c r="O14" s="61">
        <f t="shared" si="1"/>
        <v>1.5353256566296407</v>
      </c>
      <c r="P14" s="61">
        <f t="shared" si="2"/>
        <v>0.73405651200144795</v>
      </c>
      <c r="Q14" s="66"/>
    </row>
    <row r="15" spans="1:23" ht="15.75" thickBot="1">
      <c r="A15" s="54" t="s">
        <v>56</v>
      </c>
      <c r="B15" s="40">
        <v>697.74</v>
      </c>
      <c r="C15" s="40">
        <v>469.03</v>
      </c>
      <c r="D15" s="40">
        <v>294.70999999999998</v>
      </c>
      <c r="E15" s="41">
        <v>203.64</v>
      </c>
      <c r="G15" s="54" t="s">
        <v>56</v>
      </c>
      <c r="H15" s="61">
        <f t="shared" si="3"/>
        <v>4.0602703471777302E-2</v>
      </c>
      <c r="I15" s="61">
        <f t="shared" si="4"/>
        <v>4.1133781478704327E-2</v>
      </c>
      <c r="J15" s="61">
        <f t="shared" si="5"/>
        <v>3.263539297349613E-2</v>
      </c>
      <c r="K15" s="66">
        <f t="shared" si="6"/>
        <v>2.8742535254207141E-2</v>
      </c>
      <c r="M15" s="54" t="s">
        <v>56</v>
      </c>
      <c r="N15" s="61">
        <f t="shared" si="0"/>
        <v>2.4263406010606956</v>
      </c>
      <c r="O15" s="61">
        <f t="shared" si="1"/>
        <v>1.3032311923001376</v>
      </c>
      <c r="P15" s="61">
        <f t="shared" si="2"/>
        <v>0.4472107640934983</v>
      </c>
      <c r="Q15" s="66"/>
    </row>
    <row r="16" spans="1:23" ht="15.75" thickBot="1">
      <c r="A16" s="55" t="s">
        <v>57</v>
      </c>
      <c r="B16" s="40">
        <v>2573.1999999999998</v>
      </c>
      <c r="C16" s="40">
        <v>1772.35</v>
      </c>
      <c r="D16" s="40">
        <v>1238.3</v>
      </c>
      <c r="E16" s="41">
        <v>680.41</v>
      </c>
      <c r="G16" s="55" t="s">
        <v>57</v>
      </c>
      <c r="H16" s="61">
        <f t="shared" si="3"/>
        <v>0.14973898095791746</v>
      </c>
      <c r="I16" s="61">
        <f t="shared" si="4"/>
        <v>0.15543452999548346</v>
      </c>
      <c r="J16" s="61">
        <f t="shared" si="5"/>
        <v>0.13712601241586733</v>
      </c>
      <c r="K16" s="66">
        <f t="shared" si="6"/>
        <v>9.6035692458824803E-2</v>
      </c>
      <c r="M16" s="55" t="s">
        <v>57</v>
      </c>
      <c r="N16" s="61">
        <f t="shared" si="0"/>
        <v>2.7818374215546511</v>
      </c>
      <c r="O16" s="61">
        <f t="shared" si="1"/>
        <v>1.604826501668112</v>
      </c>
      <c r="P16" s="61">
        <f t="shared" si="2"/>
        <v>0.819932099763378</v>
      </c>
      <c r="Q16" s="66"/>
    </row>
    <row r="17" spans="1:17" ht="15.75" thickBot="1">
      <c r="A17" s="54" t="s">
        <v>26</v>
      </c>
      <c r="B17" s="40">
        <f>0.5</f>
        <v>0.5</v>
      </c>
      <c r="C17" s="40">
        <f>0.56</f>
        <v>0.56000000000000005</v>
      </c>
      <c r="D17" s="40">
        <f>1.9</f>
        <v>1.9</v>
      </c>
      <c r="E17" s="41">
        <f>16.06</f>
        <v>16.059999999999999</v>
      </c>
      <c r="G17" s="54" t="s">
        <v>26</v>
      </c>
      <c r="H17" s="61">
        <f t="shared" si="3"/>
        <v>2.9095869143074282E-5</v>
      </c>
      <c r="I17" s="61">
        <f t="shared" si="4"/>
        <v>4.9111821478528936E-5</v>
      </c>
      <c r="J17" s="61">
        <f t="shared" si="5"/>
        <v>2.1040089121388027E-4</v>
      </c>
      <c r="K17" s="66">
        <f t="shared" si="6"/>
        <v>2.2667703603543839E-3</v>
      </c>
      <c r="M17" s="54" t="s">
        <v>26</v>
      </c>
      <c r="N17" s="61">
        <f t="shared" si="0"/>
        <v>-0.96886674968866748</v>
      </c>
      <c r="O17" s="61">
        <f t="shared" si="1"/>
        <v>-0.96513075965130757</v>
      </c>
      <c r="P17" s="61">
        <f t="shared" si="2"/>
        <v>-0.88169364881693646</v>
      </c>
      <c r="Q17" s="66"/>
    </row>
    <row r="18" spans="1:17" ht="15.75" thickBot="1">
      <c r="A18" s="54" t="s">
        <v>58</v>
      </c>
      <c r="B18" s="40">
        <v>0</v>
      </c>
      <c r="C18" s="40">
        <v>0</v>
      </c>
      <c r="D18" s="40">
        <v>0</v>
      </c>
      <c r="E18" s="41">
        <v>0</v>
      </c>
      <c r="G18" s="54" t="s">
        <v>58</v>
      </c>
      <c r="H18" s="61">
        <f t="shared" si="3"/>
        <v>0</v>
      </c>
      <c r="I18" s="61">
        <f t="shared" si="4"/>
        <v>0</v>
      </c>
      <c r="J18" s="61">
        <f t="shared" si="5"/>
        <v>0</v>
      </c>
      <c r="K18" s="66">
        <f t="shared" si="6"/>
        <v>0</v>
      </c>
      <c r="M18" s="54" t="s">
        <v>58</v>
      </c>
      <c r="N18" s="61">
        <v>0</v>
      </c>
      <c r="O18" s="61">
        <v>0</v>
      </c>
      <c r="P18" s="61">
        <v>0</v>
      </c>
      <c r="Q18" s="66"/>
    </row>
    <row r="19" spans="1:17" ht="15.75" thickBot="1">
      <c r="A19" s="54" t="s">
        <v>69</v>
      </c>
      <c r="B19" s="40">
        <v>0</v>
      </c>
      <c r="C19" s="40">
        <v>0</v>
      </c>
      <c r="D19" s="40">
        <v>0</v>
      </c>
      <c r="E19" s="41">
        <v>0</v>
      </c>
      <c r="G19" s="54" t="s">
        <v>69</v>
      </c>
      <c r="H19" s="61">
        <f t="shared" si="3"/>
        <v>0</v>
      </c>
      <c r="I19" s="61">
        <f t="shared" si="4"/>
        <v>0</v>
      </c>
      <c r="J19" s="61">
        <f t="shared" si="5"/>
        <v>0</v>
      </c>
      <c r="K19" s="66">
        <f t="shared" si="6"/>
        <v>0</v>
      </c>
      <c r="M19" s="54" t="s">
        <v>69</v>
      </c>
      <c r="N19" s="61">
        <v>0</v>
      </c>
      <c r="O19" s="61">
        <v>0</v>
      </c>
      <c r="P19" s="61">
        <v>0</v>
      </c>
      <c r="Q19" s="66"/>
    </row>
    <row r="20" spans="1:17" ht="30.75" thickBot="1">
      <c r="A20" s="55" t="s">
        <v>59</v>
      </c>
      <c r="B20" s="40">
        <v>2572.71</v>
      </c>
      <c r="C20" s="40">
        <v>1771.79</v>
      </c>
      <c r="D20" s="40">
        <v>1236.4000000000001</v>
      </c>
      <c r="E20" s="41">
        <v>664.35</v>
      </c>
      <c r="G20" s="55" t="s">
        <v>59</v>
      </c>
      <c r="H20" s="61">
        <f t="shared" si="3"/>
        <v>0.14971046700615728</v>
      </c>
      <c r="I20" s="61">
        <f t="shared" si="4"/>
        <v>0.15538541817400495</v>
      </c>
      <c r="J20" s="61">
        <f t="shared" si="5"/>
        <v>0.13691561152465348</v>
      </c>
      <c r="K20" s="66">
        <f t="shared" si="6"/>
        <v>9.3768922098470417E-2</v>
      </c>
      <c r="M20" s="55" t="s">
        <v>59</v>
      </c>
      <c r="N20" s="61">
        <f t="shared" si="0"/>
        <v>2.8725220139986454</v>
      </c>
      <c r="O20" s="61">
        <f t="shared" si="1"/>
        <v>1.666952660495221</v>
      </c>
      <c r="P20" s="61">
        <f t="shared" si="2"/>
        <v>0.86106720854971031</v>
      </c>
      <c r="Q20" s="66"/>
    </row>
    <row r="21" spans="1:17" ht="15.75" thickBot="1">
      <c r="A21" s="54" t="s">
        <v>60</v>
      </c>
      <c r="B21" s="40">
        <v>0</v>
      </c>
      <c r="C21" s="40">
        <v>0</v>
      </c>
      <c r="D21" s="40">
        <v>0</v>
      </c>
      <c r="E21" s="41">
        <v>0</v>
      </c>
      <c r="G21" s="54" t="s">
        <v>60</v>
      </c>
      <c r="H21" s="61">
        <f t="shared" si="3"/>
        <v>0</v>
      </c>
      <c r="I21" s="61">
        <f t="shared" si="4"/>
        <v>0</v>
      </c>
      <c r="J21" s="61">
        <f t="shared" si="5"/>
        <v>0</v>
      </c>
      <c r="K21" s="66">
        <f t="shared" si="6"/>
        <v>0</v>
      </c>
      <c r="M21" s="54" t="s">
        <v>60</v>
      </c>
      <c r="N21" s="61">
        <v>0</v>
      </c>
      <c r="O21" s="61">
        <v>0</v>
      </c>
      <c r="P21" s="61">
        <v>0</v>
      </c>
      <c r="Q21" s="66"/>
    </row>
    <row r="22" spans="1:17" ht="15.75" thickBot="1">
      <c r="A22" s="55" t="s">
        <v>61</v>
      </c>
      <c r="B22" s="40">
        <v>2572.71</v>
      </c>
      <c r="C22" s="40">
        <v>1771.79</v>
      </c>
      <c r="D22" s="40">
        <v>1236.4000000000001</v>
      </c>
      <c r="E22" s="41">
        <v>664.35</v>
      </c>
      <c r="G22" s="55" t="s">
        <v>61</v>
      </c>
      <c r="H22" s="61">
        <f t="shared" si="3"/>
        <v>0.14971046700615728</v>
      </c>
      <c r="I22" s="61">
        <f t="shared" si="4"/>
        <v>0.15538541817400495</v>
      </c>
      <c r="J22" s="61">
        <f t="shared" si="5"/>
        <v>0.13691561152465348</v>
      </c>
      <c r="K22" s="66">
        <f t="shared" si="6"/>
        <v>9.3768922098470417E-2</v>
      </c>
      <c r="M22" s="55" t="s">
        <v>61</v>
      </c>
      <c r="N22" s="61">
        <f t="shared" si="0"/>
        <v>2.8725220139986454</v>
      </c>
      <c r="O22" s="61">
        <f t="shared" si="1"/>
        <v>1.666952660495221</v>
      </c>
      <c r="P22" s="61">
        <f t="shared" si="2"/>
        <v>0.86106720854971031</v>
      </c>
      <c r="Q22" s="66"/>
    </row>
    <row r="23" spans="1:17" ht="27" customHeight="1" thickBot="1">
      <c r="A23" s="54" t="s">
        <v>62</v>
      </c>
      <c r="B23" s="40">
        <v>0</v>
      </c>
      <c r="C23" s="40">
        <v>0</v>
      </c>
      <c r="D23" s="40">
        <v>0</v>
      </c>
      <c r="E23" s="41">
        <v>0</v>
      </c>
      <c r="G23" s="54" t="s">
        <v>62</v>
      </c>
      <c r="H23" s="61">
        <f t="shared" si="3"/>
        <v>0</v>
      </c>
      <c r="I23" s="61">
        <f t="shared" si="4"/>
        <v>0</v>
      </c>
      <c r="J23" s="61">
        <f t="shared" si="5"/>
        <v>0</v>
      </c>
      <c r="K23" s="66">
        <f t="shared" si="6"/>
        <v>0</v>
      </c>
      <c r="M23" s="54" t="s">
        <v>62</v>
      </c>
      <c r="N23" s="61">
        <v>0</v>
      </c>
      <c r="O23" s="61">
        <v>0</v>
      </c>
      <c r="P23" s="61">
        <v>0</v>
      </c>
      <c r="Q23" s="66"/>
    </row>
    <row r="24" spans="1:17" ht="33" customHeight="1" thickBot="1">
      <c r="A24" s="55" t="s">
        <v>63</v>
      </c>
      <c r="B24" s="40">
        <v>2572.71</v>
      </c>
      <c r="C24" s="40">
        <v>1771.79</v>
      </c>
      <c r="D24" s="40">
        <v>1236.4000000000001</v>
      </c>
      <c r="E24" s="41">
        <v>664.35</v>
      </c>
      <c r="G24" s="55" t="s">
        <v>63</v>
      </c>
      <c r="H24" s="61">
        <f t="shared" si="3"/>
        <v>0.14971046700615728</v>
      </c>
      <c r="I24" s="61">
        <f t="shared" si="4"/>
        <v>0.15538541817400495</v>
      </c>
      <c r="J24" s="61">
        <f t="shared" si="5"/>
        <v>0.13691561152465348</v>
      </c>
      <c r="K24" s="66">
        <f t="shared" si="6"/>
        <v>9.3768922098470417E-2</v>
      </c>
      <c r="M24" s="55" t="s">
        <v>63</v>
      </c>
      <c r="N24" s="61">
        <f t="shared" si="0"/>
        <v>2.8725220139986454</v>
      </c>
      <c r="O24" s="61">
        <f t="shared" si="1"/>
        <v>1.666952660495221</v>
      </c>
      <c r="P24" s="61">
        <f t="shared" si="2"/>
        <v>0.86106720854971031</v>
      </c>
      <c r="Q24" s="66"/>
    </row>
    <row r="25" spans="1:17" ht="15.75" thickBot="1">
      <c r="A25" s="54" t="s">
        <v>64</v>
      </c>
      <c r="B25" s="40">
        <v>0</v>
      </c>
      <c r="C25" s="40">
        <v>0</v>
      </c>
      <c r="D25" s="40">
        <v>0</v>
      </c>
      <c r="E25" s="41">
        <v>0</v>
      </c>
      <c r="G25" s="54" t="s">
        <v>64</v>
      </c>
      <c r="H25" s="61">
        <f t="shared" si="3"/>
        <v>0</v>
      </c>
      <c r="I25" s="61">
        <f t="shared" si="4"/>
        <v>0</v>
      </c>
      <c r="J25" s="61">
        <f t="shared" si="5"/>
        <v>0</v>
      </c>
      <c r="K25" s="66">
        <f t="shared" si="6"/>
        <v>0</v>
      </c>
      <c r="M25" s="54" t="s">
        <v>64</v>
      </c>
      <c r="N25" s="61">
        <v>0</v>
      </c>
      <c r="O25" s="61">
        <v>0</v>
      </c>
      <c r="P25" s="61">
        <v>0</v>
      </c>
      <c r="Q25" s="66"/>
    </row>
    <row r="26" spans="1:17" ht="15.75" thickBot="1">
      <c r="A26" s="54" t="s">
        <v>65</v>
      </c>
      <c r="B26" s="40">
        <v>2572.71</v>
      </c>
      <c r="C26" s="40">
        <v>1771.79</v>
      </c>
      <c r="D26" s="40">
        <v>1236.4000000000001</v>
      </c>
      <c r="E26" s="41">
        <v>664.35</v>
      </c>
      <c r="G26" s="54" t="s">
        <v>65</v>
      </c>
      <c r="H26" s="61">
        <f t="shared" si="3"/>
        <v>0.14971046700615728</v>
      </c>
      <c r="I26" s="61">
        <f t="shared" si="4"/>
        <v>0.15538541817400495</v>
      </c>
      <c r="J26" s="61">
        <f t="shared" si="5"/>
        <v>0.13691561152465348</v>
      </c>
      <c r="K26" s="66">
        <f t="shared" si="6"/>
        <v>9.3768922098470417E-2</v>
      </c>
      <c r="M26" s="54" t="s">
        <v>65</v>
      </c>
      <c r="N26" s="61">
        <f t="shared" si="0"/>
        <v>2.8725220139986454</v>
      </c>
      <c r="O26" s="61">
        <f t="shared" si="1"/>
        <v>1.666952660495221</v>
      </c>
      <c r="P26" s="61">
        <f t="shared" si="2"/>
        <v>0.86106720854971031</v>
      </c>
      <c r="Q26" s="66"/>
    </row>
    <row r="27" spans="1:17" ht="30.75" thickBot="1">
      <c r="A27" s="54" t="s">
        <v>66</v>
      </c>
      <c r="B27" s="40">
        <v>3350</v>
      </c>
      <c r="C27" s="40">
        <v>3350</v>
      </c>
      <c r="D27" s="40">
        <v>3349.99</v>
      </c>
      <c r="E27" s="41">
        <v>3349.99</v>
      </c>
      <c r="G27" s="54" t="s">
        <v>66</v>
      </c>
      <c r="H27" s="61">
        <f t="shared" si="3"/>
        <v>0.1949423232585977</v>
      </c>
      <c r="I27" s="61">
        <f t="shared" si="4"/>
        <v>0.29379393205905696</v>
      </c>
      <c r="J27" s="61">
        <f t="shared" si="5"/>
        <v>0.37096888503030884</v>
      </c>
      <c r="K27" s="66">
        <f t="shared" si="6"/>
        <v>0.47283051304380957</v>
      </c>
      <c r="M27" s="54" t="s">
        <v>66</v>
      </c>
      <c r="N27" s="61">
        <f t="shared" si="0"/>
        <v>2.9850835376279571E-6</v>
      </c>
      <c r="O27" s="61">
        <f t="shared" si="1"/>
        <v>2.9850835376279571E-6</v>
      </c>
      <c r="P27" s="61">
        <f t="shared" si="2"/>
        <v>0</v>
      </c>
      <c r="Q27" s="66"/>
    </row>
    <row r="28" spans="1:17" ht="30.75" thickBot="1">
      <c r="A28" s="55" t="s">
        <v>67</v>
      </c>
      <c r="B28" s="40">
        <v>0.77</v>
      </c>
      <c r="C28" s="40">
        <v>0.53</v>
      </c>
      <c r="D28" s="40">
        <v>0.37</v>
      </c>
      <c r="E28" s="41">
        <v>0.2</v>
      </c>
      <c r="G28" s="55" t="s">
        <v>67</v>
      </c>
      <c r="H28" s="61">
        <f t="shared" si="3"/>
        <v>4.4807638480334392E-5</v>
      </c>
      <c r="I28" s="61">
        <f t="shared" si="4"/>
        <v>4.6480831042179166E-5</v>
      </c>
      <c r="J28" s="61">
        <f t="shared" si="5"/>
        <v>4.0972805131124057E-5</v>
      </c>
      <c r="K28" s="66">
        <f t="shared" si="6"/>
        <v>2.8228771610888968E-5</v>
      </c>
      <c r="M28" s="55" t="s">
        <v>67</v>
      </c>
      <c r="N28" s="61">
        <f t="shared" si="0"/>
        <v>2.85</v>
      </c>
      <c r="O28" s="61">
        <f t="shared" si="1"/>
        <v>1.65</v>
      </c>
      <c r="P28" s="61">
        <f t="shared" si="2"/>
        <v>0.84999999999999987</v>
      </c>
      <c r="Q28" s="66"/>
    </row>
    <row r="29" spans="1:17" ht="30.75" thickBot="1">
      <c r="A29" s="54" t="s">
        <v>71</v>
      </c>
      <c r="B29" s="40">
        <v>0</v>
      </c>
      <c r="C29" s="40">
        <v>0.03</v>
      </c>
      <c r="D29" s="40">
        <v>0</v>
      </c>
      <c r="E29" s="41">
        <v>0</v>
      </c>
      <c r="G29" s="54" t="s">
        <v>71</v>
      </c>
      <c r="H29" s="61">
        <f t="shared" si="3"/>
        <v>0</v>
      </c>
      <c r="I29" s="61">
        <f t="shared" si="4"/>
        <v>2.630990436349764E-6</v>
      </c>
      <c r="J29" s="61">
        <f t="shared" si="5"/>
        <v>0</v>
      </c>
      <c r="K29" s="66">
        <f t="shared" si="6"/>
        <v>0</v>
      </c>
      <c r="M29" s="54" t="s">
        <v>71</v>
      </c>
      <c r="N29" s="61">
        <v>0</v>
      </c>
      <c r="O29" s="61">
        <v>0</v>
      </c>
      <c r="P29" s="61">
        <v>0</v>
      </c>
      <c r="Q29" s="66"/>
    </row>
    <row r="30" spans="1:17" ht="15.75" thickBot="1">
      <c r="A30" s="56" t="s">
        <v>68</v>
      </c>
      <c r="B30" s="42">
        <v>0.77</v>
      </c>
      <c r="C30" s="42">
        <v>0.53</v>
      </c>
      <c r="D30" s="42">
        <v>0.37</v>
      </c>
      <c r="E30" s="43">
        <v>0.2</v>
      </c>
      <c r="G30" s="56" t="s">
        <v>68</v>
      </c>
      <c r="H30" s="62">
        <f t="shared" si="3"/>
        <v>4.4807638480334392E-5</v>
      </c>
      <c r="I30" s="62">
        <f t="shared" si="4"/>
        <v>4.6480831042179166E-5</v>
      </c>
      <c r="J30" s="62">
        <f t="shared" si="5"/>
        <v>4.0972805131124057E-5</v>
      </c>
      <c r="K30" s="67">
        <f t="shared" si="6"/>
        <v>2.8228771610888968E-5</v>
      </c>
      <c r="M30" s="56" t="s">
        <v>68</v>
      </c>
      <c r="N30" s="62">
        <f t="shared" si="0"/>
        <v>2.85</v>
      </c>
      <c r="O30" s="62">
        <f t="shared" si="1"/>
        <v>1.65</v>
      </c>
      <c r="P30" s="62">
        <f t="shared" si="2"/>
        <v>0.84999999999999987</v>
      </c>
      <c r="Q30" s="67"/>
    </row>
    <row r="31" spans="1:17" ht="22.5">
      <c r="A31" s="57" t="s">
        <v>38</v>
      </c>
      <c r="B31" s="50"/>
      <c r="C31" s="50"/>
      <c r="D31" s="50"/>
      <c r="E31" s="50"/>
      <c r="G31" s="57" t="s">
        <v>38</v>
      </c>
      <c r="H31" s="50"/>
      <c r="I31" s="50"/>
      <c r="J31" s="50"/>
      <c r="K31" s="50"/>
      <c r="M31" s="57" t="s">
        <v>38</v>
      </c>
      <c r="N31" s="50"/>
      <c r="O31" s="50"/>
      <c r="P31" s="50"/>
      <c r="Q31" s="50"/>
    </row>
  </sheetData>
  <mergeCells count="7">
    <mergeCell ref="S3:W3"/>
    <mergeCell ref="A4:A5"/>
    <mergeCell ref="A3:E3"/>
    <mergeCell ref="G3:K3"/>
    <mergeCell ref="G4:G5"/>
    <mergeCell ref="M3:Q3"/>
    <mergeCell ref="M4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E65F-DC65-4F98-9D34-E401601347D3}">
  <dimension ref="A1:K111"/>
  <sheetViews>
    <sheetView zoomScale="75" zoomScaleNormal="75" workbookViewId="0">
      <selection activeCell="G106" sqref="G106:G107"/>
    </sheetView>
  </sheetViews>
  <sheetFormatPr defaultRowHeight="15"/>
  <cols>
    <col min="7" max="7" width="15.42578125" style="83" bestFit="1" customWidth="1"/>
    <col min="10" max="10" width="36.42578125" customWidth="1"/>
  </cols>
  <sheetData>
    <row r="1" spans="1:11" ht="15.75">
      <c r="A1" s="119" t="s">
        <v>220</v>
      </c>
      <c r="B1" s="119"/>
      <c r="C1" s="119"/>
      <c r="D1" s="119"/>
      <c r="E1" s="119"/>
      <c r="F1" s="119"/>
      <c r="G1" s="119"/>
      <c r="J1" s="101"/>
      <c r="K1" s="101"/>
    </row>
    <row r="2" spans="1:11" s="101" customFormat="1" ht="15.75">
      <c r="A2" s="102" t="s">
        <v>74</v>
      </c>
      <c r="B2" s="103"/>
      <c r="C2" s="104"/>
      <c r="D2" s="105"/>
      <c r="E2" s="105"/>
      <c r="F2" s="105"/>
      <c r="G2" s="80"/>
    </row>
    <row r="3" spans="1:11" ht="15.75">
      <c r="A3" s="68"/>
      <c r="B3" s="120" t="s">
        <v>75</v>
      </c>
      <c r="C3" s="121"/>
      <c r="D3" s="121"/>
      <c r="E3" s="121"/>
      <c r="F3" s="122"/>
      <c r="G3" s="123" t="s">
        <v>170</v>
      </c>
      <c r="J3" s="101"/>
      <c r="K3" s="101"/>
    </row>
    <row r="4" spans="1:11" ht="15.75">
      <c r="A4" s="68"/>
      <c r="B4" s="125" t="s">
        <v>76</v>
      </c>
      <c r="C4" s="126"/>
      <c r="D4" s="126"/>
      <c r="E4" s="126"/>
      <c r="F4" s="127"/>
      <c r="G4" s="128"/>
      <c r="J4" s="101"/>
      <c r="K4" s="101"/>
    </row>
    <row r="5" spans="1:11" ht="15.75">
      <c r="A5" s="68"/>
      <c r="B5" s="120" t="s">
        <v>77</v>
      </c>
      <c r="C5" s="121"/>
      <c r="D5" s="121"/>
      <c r="E5" s="121"/>
      <c r="F5" s="122"/>
      <c r="G5" s="123" t="s">
        <v>169</v>
      </c>
      <c r="J5" s="101"/>
      <c r="K5" s="101"/>
    </row>
    <row r="6" spans="1:11" ht="15.75">
      <c r="A6" s="68"/>
      <c r="B6" s="125" t="s">
        <v>78</v>
      </c>
      <c r="C6" s="126"/>
      <c r="D6" s="126"/>
      <c r="E6" s="126"/>
      <c r="F6" s="127"/>
      <c r="G6" s="128"/>
      <c r="J6" s="101"/>
      <c r="K6" s="101"/>
    </row>
    <row r="7" spans="1:11" ht="15.75">
      <c r="A7" s="68"/>
      <c r="B7" s="120" t="s">
        <v>79</v>
      </c>
      <c r="C7" s="121"/>
      <c r="D7" s="121"/>
      <c r="E7" s="121"/>
      <c r="F7" s="122"/>
      <c r="G7" s="123">
        <v>1.358987725638364</v>
      </c>
      <c r="J7" s="101"/>
      <c r="K7" s="101"/>
    </row>
    <row r="8" spans="1:11" ht="15.75">
      <c r="A8" s="68"/>
      <c r="B8" s="125" t="s">
        <v>80</v>
      </c>
      <c r="C8" s="126"/>
      <c r="D8" s="126"/>
      <c r="E8" s="126"/>
      <c r="F8" s="127"/>
      <c r="G8" s="128"/>
      <c r="J8" s="101"/>
      <c r="K8" s="101"/>
    </row>
    <row r="9" spans="1:11" ht="15.75">
      <c r="A9" s="68"/>
      <c r="B9" s="120" t="s">
        <v>81</v>
      </c>
      <c r="C9" s="121"/>
      <c r="D9" s="121"/>
      <c r="E9" s="121"/>
      <c r="F9" s="122"/>
      <c r="G9" s="123">
        <f>17184.57/(18511+35576+99326)</f>
        <v>0.11201508346750275</v>
      </c>
      <c r="J9" s="101"/>
      <c r="K9" s="101"/>
    </row>
    <row r="10" spans="1:11" ht="15.75">
      <c r="A10" s="68"/>
      <c r="B10" s="125" t="s">
        <v>82</v>
      </c>
      <c r="C10" s="126"/>
      <c r="D10" s="126"/>
      <c r="E10" s="126"/>
      <c r="F10" s="127"/>
      <c r="G10" s="128"/>
      <c r="J10" s="101"/>
      <c r="K10" s="101"/>
    </row>
    <row r="11" spans="1:11" ht="15.75">
      <c r="A11" s="68"/>
      <c r="B11" s="120" t="s">
        <v>83</v>
      </c>
      <c r="C11" s="121"/>
      <c r="D11" s="121"/>
      <c r="E11" s="121"/>
      <c r="F11" s="122"/>
      <c r="G11" s="129">
        <f>9306/86826</f>
        <v>0.10717987699537004</v>
      </c>
      <c r="J11" s="101"/>
      <c r="K11" s="101"/>
    </row>
    <row r="12" spans="1:11" ht="15.75">
      <c r="A12" s="68"/>
      <c r="B12" s="125" t="s">
        <v>84</v>
      </c>
      <c r="C12" s="126"/>
      <c r="D12" s="126"/>
      <c r="E12" s="126"/>
      <c r="F12" s="127"/>
      <c r="G12" s="148"/>
      <c r="J12" s="101"/>
      <c r="K12" s="101"/>
    </row>
    <row r="13" spans="1:11">
      <c r="A13" s="71"/>
      <c r="B13" s="120" t="s">
        <v>85</v>
      </c>
      <c r="C13" s="121"/>
      <c r="D13" s="121"/>
      <c r="E13" s="121"/>
      <c r="F13" s="122"/>
      <c r="G13" s="129">
        <f>3644/6020</f>
        <v>0.60531561461794015</v>
      </c>
      <c r="J13" s="101"/>
      <c r="K13" s="101"/>
    </row>
    <row r="14" spans="1:11">
      <c r="A14" s="71"/>
      <c r="B14" s="125" t="s">
        <v>86</v>
      </c>
      <c r="C14" s="126"/>
      <c r="D14" s="126"/>
      <c r="E14" s="126"/>
      <c r="F14" s="127"/>
      <c r="G14" s="148"/>
      <c r="J14" s="101"/>
      <c r="K14" s="101"/>
    </row>
    <row r="15" spans="1:11">
      <c r="A15" s="71"/>
      <c r="B15" s="120" t="s">
        <v>87</v>
      </c>
      <c r="C15" s="121"/>
      <c r="D15" s="121"/>
      <c r="E15" s="121"/>
      <c r="F15" s="122"/>
      <c r="G15" s="129">
        <f>((3125770+5588804)-(6597608-5815647))/100376591</f>
        <v>7.9028515722356016E-2</v>
      </c>
      <c r="J15" s="101"/>
      <c r="K15" s="101"/>
    </row>
    <row r="16" spans="1:11">
      <c r="A16" s="71"/>
      <c r="B16" s="125" t="s">
        <v>88</v>
      </c>
      <c r="C16" s="126"/>
      <c r="D16" s="126"/>
      <c r="E16" s="126"/>
      <c r="F16" s="127"/>
      <c r="G16" s="148"/>
      <c r="J16" s="101"/>
      <c r="K16" s="101"/>
    </row>
    <row r="17" spans="1:11">
      <c r="A17" s="71"/>
      <c r="B17" s="120" t="s">
        <v>89</v>
      </c>
      <c r="C17" s="121"/>
      <c r="D17" s="121"/>
      <c r="E17" s="121"/>
      <c r="F17" s="122"/>
      <c r="G17" s="149">
        <v>1.2999999999999999E-2</v>
      </c>
      <c r="J17" s="101"/>
      <c r="K17" s="101"/>
    </row>
    <row r="18" spans="1:11">
      <c r="A18" s="71"/>
      <c r="B18" s="125" t="s">
        <v>90</v>
      </c>
      <c r="C18" s="126"/>
      <c r="D18" s="126"/>
      <c r="E18" s="126"/>
      <c r="F18" s="127"/>
      <c r="G18" s="150"/>
      <c r="J18" s="101"/>
      <c r="K18" s="101"/>
    </row>
    <row r="19" spans="1:11">
      <c r="A19" s="71"/>
      <c r="B19" s="120" t="s">
        <v>91</v>
      </c>
      <c r="C19" s="121"/>
      <c r="D19" s="121"/>
      <c r="E19" s="121"/>
      <c r="F19" s="122"/>
      <c r="G19" s="129">
        <f>3531/9033</f>
        <v>0.39090003321155764</v>
      </c>
      <c r="J19" s="101"/>
      <c r="K19" s="101"/>
    </row>
    <row r="20" spans="1:11">
      <c r="A20" s="71"/>
      <c r="B20" s="125" t="s">
        <v>92</v>
      </c>
      <c r="C20" s="126"/>
      <c r="D20" s="126"/>
      <c r="E20" s="126"/>
      <c r="F20" s="127"/>
      <c r="G20" s="148"/>
      <c r="J20" s="101"/>
      <c r="K20" s="101"/>
    </row>
    <row r="21" spans="1:11">
      <c r="A21" s="71"/>
      <c r="B21" s="120" t="s">
        <v>93</v>
      </c>
      <c r="C21" s="121"/>
      <c r="D21" s="121"/>
      <c r="E21" s="121"/>
      <c r="F21" s="122"/>
      <c r="G21" s="129">
        <f>1047/1627</f>
        <v>0.6435156730178242</v>
      </c>
      <c r="J21" s="101"/>
      <c r="K21" s="101"/>
    </row>
    <row r="22" spans="1:11">
      <c r="A22" s="71"/>
      <c r="B22" s="125" t="s">
        <v>94</v>
      </c>
      <c r="C22" s="126"/>
      <c r="D22" s="126"/>
      <c r="E22" s="126"/>
      <c r="F22" s="127"/>
      <c r="G22" s="148"/>
      <c r="J22" s="101"/>
      <c r="K22" s="101"/>
    </row>
    <row r="23" spans="1:11">
      <c r="A23" s="71"/>
      <c r="B23" s="120" t="s">
        <v>95</v>
      </c>
      <c r="C23" s="121"/>
      <c r="D23" s="121"/>
      <c r="E23" s="121"/>
      <c r="F23" s="122"/>
      <c r="G23" s="123">
        <f>1627/16555</f>
        <v>9.8278465720326183E-2</v>
      </c>
      <c r="J23" s="101"/>
      <c r="K23" s="101"/>
    </row>
    <row r="24" spans="1:11">
      <c r="A24" s="71"/>
      <c r="B24" s="125" t="s">
        <v>96</v>
      </c>
      <c r="C24" s="126"/>
      <c r="D24" s="126"/>
      <c r="E24" s="126"/>
      <c r="F24" s="127"/>
      <c r="G24" s="128"/>
      <c r="J24" s="101"/>
      <c r="K24" s="101"/>
    </row>
    <row r="25" spans="1:11">
      <c r="A25" s="71"/>
      <c r="B25" s="120" t="s">
        <v>97</v>
      </c>
      <c r="C25" s="121"/>
      <c r="D25" s="121"/>
      <c r="E25" s="121"/>
      <c r="F25" s="122"/>
      <c r="G25" s="123">
        <f>(2+145+175)/29748</f>
        <v>1.0824257092913809E-2</v>
      </c>
      <c r="J25" s="101"/>
      <c r="K25" s="101"/>
    </row>
    <row r="26" spans="1:11">
      <c r="A26" s="71"/>
      <c r="B26" s="125" t="s">
        <v>98</v>
      </c>
      <c r="C26" s="126"/>
      <c r="D26" s="126"/>
      <c r="E26" s="126"/>
      <c r="F26" s="127"/>
      <c r="G26" s="128"/>
      <c r="J26" s="101"/>
      <c r="K26" s="101"/>
    </row>
    <row r="27" spans="1:11">
      <c r="A27" s="71"/>
      <c r="B27" s="120" t="s">
        <v>99</v>
      </c>
      <c r="C27" s="121"/>
      <c r="D27" s="121"/>
      <c r="E27" s="121"/>
      <c r="F27" s="122"/>
      <c r="G27" s="123">
        <f>7000/101470</f>
        <v>6.8985907164679214E-2</v>
      </c>
      <c r="J27" s="101"/>
      <c r="K27" s="101"/>
    </row>
    <row r="28" spans="1:11">
      <c r="A28" s="71"/>
      <c r="B28" s="125" t="s">
        <v>100</v>
      </c>
      <c r="C28" s="126"/>
      <c r="D28" s="126"/>
      <c r="E28" s="126"/>
      <c r="F28" s="127"/>
      <c r="G28" s="124"/>
      <c r="J28" s="101"/>
      <c r="K28" s="101"/>
    </row>
    <row r="29" spans="1:11">
      <c r="A29" s="71"/>
      <c r="B29" s="120" t="s">
        <v>101</v>
      </c>
      <c r="C29" s="121"/>
      <c r="D29" s="121"/>
      <c r="E29" s="121"/>
      <c r="F29" s="122"/>
      <c r="G29" s="123">
        <f>1345/12933</f>
        <v>0.1039975257094255</v>
      </c>
      <c r="J29" s="101"/>
      <c r="K29" s="101"/>
    </row>
    <row r="30" spans="1:11">
      <c r="A30" s="71"/>
      <c r="B30" s="125" t="s">
        <v>102</v>
      </c>
      <c r="C30" s="126"/>
      <c r="D30" s="126"/>
      <c r="E30" s="126"/>
      <c r="F30" s="127"/>
      <c r="G30" s="124"/>
      <c r="J30" s="101"/>
      <c r="K30" s="101"/>
    </row>
    <row r="31" spans="1:11">
      <c r="A31" s="71"/>
      <c r="B31" s="120" t="s">
        <v>103</v>
      </c>
      <c r="C31" s="121"/>
      <c r="D31" s="121"/>
      <c r="E31" s="121"/>
      <c r="F31" s="122"/>
      <c r="G31" s="129">
        <f>3530/(7830+3530)</f>
        <v>0.31073943661971831</v>
      </c>
      <c r="J31" s="101"/>
      <c r="K31" s="101"/>
    </row>
    <row r="32" spans="1:11">
      <c r="A32" s="71"/>
      <c r="B32" s="125" t="s">
        <v>104</v>
      </c>
      <c r="C32" s="126"/>
      <c r="D32" s="126"/>
      <c r="E32" s="126"/>
      <c r="F32" s="127"/>
      <c r="G32" s="130"/>
      <c r="J32" s="101"/>
      <c r="K32" s="101"/>
    </row>
    <row r="33" spans="1:11">
      <c r="A33" s="71"/>
      <c r="B33" s="120" t="s">
        <v>105</v>
      </c>
      <c r="C33" s="121"/>
      <c r="D33" s="121"/>
      <c r="E33" s="121"/>
      <c r="F33" s="122"/>
      <c r="G33" s="129">
        <f>((163500234-124000000)-63000000)/100376591</f>
        <v>-0.23411600021363546</v>
      </c>
      <c r="J33" s="101"/>
      <c r="K33" s="101"/>
    </row>
    <row r="34" spans="1:11">
      <c r="A34" s="71"/>
      <c r="B34" s="125" t="s">
        <v>106</v>
      </c>
      <c r="C34" s="126"/>
      <c r="D34" s="126"/>
      <c r="E34" s="126"/>
      <c r="F34" s="127"/>
      <c r="G34" s="130"/>
      <c r="J34" s="101"/>
      <c r="K34" s="101"/>
    </row>
    <row r="35" spans="1:11">
      <c r="A35" s="71"/>
      <c r="B35" s="120" t="s">
        <v>107</v>
      </c>
      <c r="C35" s="121"/>
      <c r="D35" s="121"/>
      <c r="E35" s="121"/>
      <c r="F35" s="122"/>
      <c r="G35" s="146">
        <f>(100376591-124163259)*1000</f>
        <v>-23786668000</v>
      </c>
      <c r="J35" s="101"/>
      <c r="K35" s="101"/>
    </row>
    <row r="36" spans="1:11">
      <c r="A36" s="71"/>
      <c r="B36" s="125" t="s">
        <v>108</v>
      </c>
      <c r="C36" s="126"/>
      <c r="D36" s="126"/>
      <c r="E36" s="126"/>
      <c r="F36" s="127"/>
      <c r="G36" s="147"/>
      <c r="J36" s="101"/>
      <c r="K36" s="101"/>
    </row>
    <row r="37" spans="1:11">
      <c r="A37" s="71"/>
      <c r="B37" s="120" t="s">
        <v>109</v>
      </c>
      <c r="C37" s="121"/>
      <c r="D37" s="121"/>
      <c r="E37" s="121"/>
      <c r="F37" s="122"/>
      <c r="G37" s="129">
        <f>100376591/124163259</f>
        <v>0.80842426180195548</v>
      </c>
    </row>
    <row r="38" spans="1:11">
      <c r="A38" s="71"/>
      <c r="B38" s="125" t="s">
        <v>110</v>
      </c>
      <c r="C38" s="126"/>
      <c r="D38" s="126"/>
      <c r="E38" s="126"/>
      <c r="F38" s="127"/>
      <c r="G38" s="130"/>
    </row>
    <row r="39" spans="1:11">
      <c r="A39" s="71"/>
      <c r="B39" s="72"/>
      <c r="C39" s="69"/>
      <c r="D39" s="70"/>
      <c r="E39" s="70"/>
      <c r="F39" s="70"/>
      <c r="G39" s="78"/>
    </row>
    <row r="40" spans="1:11">
      <c r="A40" s="71"/>
      <c r="B40" s="71"/>
      <c r="C40" s="71"/>
      <c r="D40" s="71"/>
      <c r="E40" s="71"/>
      <c r="F40" s="71"/>
      <c r="G40" s="79"/>
    </row>
    <row r="41" spans="1:11" ht="15.75">
      <c r="A41" s="68" t="s">
        <v>111</v>
      </c>
      <c r="B41" s="72"/>
      <c r="C41" s="69"/>
      <c r="D41" s="70"/>
      <c r="E41" s="70"/>
      <c r="F41" s="70"/>
      <c r="G41" s="80"/>
    </row>
    <row r="42" spans="1:11" ht="15.75">
      <c r="A42" s="68"/>
      <c r="B42" s="120" t="s">
        <v>112</v>
      </c>
      <c r="C42" s="121"/>
      <c r="D42" s="121"/>
      <c r="E42" s="121"/>
      <c r="F42" s="122"/>
      <c r="G42" s="123">
        <f>29748/2602</f>
        <v>11.432744043043812</v>
      </c>
    </row>
    <row r="43" spans="1:11" ht="15.75">
      <c r="A43" s="68"/>
      <c r="B43" s="125" t="s">
        <v>113</v>
      </c>
      <c r="C43" s="126"/>
      <c r="D43" s="126"/>
      <c r="E43" s="126"/>
      <c r="F43" s="127"/>
      <c r="G43" s="128"/>
    </row>
    <row r="44" spans="1:11" ht="15.75">
      <c r="A44" s="68"/>
      <c r="B44" s="120" t="s">
        <v>114</v>
      </c>
      <c r="C44" s="121"/>
      <c r="D44" s="121"/>
      <c r="E44" s="121"/>
      <c r="F44" s="122"/>
      <c r="G44" s="123">
        <f>(565+74+70+376+633)/2602</f>
        <v>0.66026133743274407</v>
      </c>
    </row>
    <row r="45" spans="1:11" ht="15.75">
      <c r="A45" s="68"/>
      <c r="B45" s="125" t="s">
        <v>115</v>
      </c>
      <c r="C45" s="126"/>
      <c r="D45" s="126"/>
      <c r="E45" s="126"/>
      <c r="F45" s="127"/>
      <c r="G45" s="128"/>
    </row>
    <row r="46" spans="1:11" ht="15.75">
      <c r="A46" s="68"/>
      <c r="B46" s="73" t="s">
        <v>116</v>
      </c>
      <c r="C46" s="74"/>
      <c r="D46" s="75"/>
      <c r="E46" s="75"/>
      <c r="F46" s="75"/>
      <c r="G46" s="123">
        <f>12748/16343</f>
        <v>0.78002814660711006</v>
      </c>
    </row>
    <row r="47" spans="1:11" ht="15.75">
      <c r="A47" s="68"/>
      <c r="B47" s="125" t="s">
        <v>117</v>
      </c>
      <c r="C47" s="126"/>
      <c r="D47" s="126"/>
      <c r="E47" s="126"/>
      <c r="F47" s="127"/>
      <c r="G47" s="128"/>
    </row>
    <row r="48" spans="1:11" ht="15.75">
      <c r="A48" s="68"/>
      <c r="B48" s="120" t="s">
        <v>118</v>
      </c>
      <c r="C48" s="121"/>
      <c r="D48" s="121"/>
      <c r="E48" s="121"/>
      <c r="F48" s="122"/>
      <c r="G48" s="123">
        <f>2602/29748</f>
        <v>8.7468065080005375E-2</v>
      </c>
    </row>
    <row r="49" spans="1:10" ht="15.75">
      <c r="A49" s="68"/>
      <c r="B49" s="125" t="s">
        <v>119</v>
      </c>
      <c r="C49" s="126"/>
      <c r="D49" s="126"/>
      <c r="E49" s="126"/>
      <c r="F49" s="127"/>
      <c r="G49" s="128"/>
    </row>
    <row r="50" spans="1:10" ht="15.75">
      <c r="A50" s="68"/>
      <c r="B50" s="120" t="s">
        <v>120</v>
      </c>
      <c r="C50" s="121"/>
      <c r="D50" s="121"/>
      <c r="E50" s="121"/>
      <c r="F50" s="122"/>
      <c r="G50" s="123">
        <f>(2602-(565+74+70+376+633))/29748</f>
        <v>2.971628344762673E-2</v>
      </c>
    </row>
    <row r="51" spans="1:10" ht="15.75">
      <c r="A51" s="68"/>
      <c r="B51" s="125" t="s">
        <v>121</v>
      </c>
      <c r="C51" s="126"/>
      <c r="D51" s="126"/>
      <c r="E51" s="126"/>
      <c r="F51" s="127"/>
      <c r="G51" s="145"/>
    </row>
    <row r="52" spans="1:10" ht="15.75">
      <c r="A52" s="68"/>
      <c r="B52" s="120" t="s">
        <v>122</v>
      </c>
      <c r="C52" s="121"/>
      <c r="D52" s="121"/>
      <c r="E52" s="121"/>
      <c r="F52" s="122"/>
      <c r="G52" s="134">
        <f>2602/29748</f>
        <v>8.7468065080005375E-2</v>
      </c>
    </row>
    <row r="53" spans="1:10" ht="15.75">
      <c r="A53" s="68"/>
      <c r="B53" s="125" t="s">
        <v>123</v>
      </c>
      <c r="C53" s="126"/>
      <c r="D53" s="126"/>
      <c r="E53" s="126"/>
      <c r="F53" s="127"/>
      <c r="G53" s="135"/>
    </row>
    <row r="54" spans="1:10" ht="15.75" hidden="1">
      <c r="A54" s="68"/>
      <c r="B54" s="76" t="s">
        <v>124</v>
      </c>
      <c r="G54" s="138"/>
    </row>
    <row r="55" spans="1:10" ht="15.75" hidden="1">
      <c r="A55" s="68"/>
      <c r="B55" s="141" t="s">
        <v>125</v>
      </c>
      <c r="C55" s="142"/>
      <c r="D55" s="142"/>
      <c r="E55" s="142"/>
      <c r="F55" s="143"/>
      <c r="G55" s="139"/>
      <c r="J55" s="106"/>
    </row>
    <row r="56" spans="1:10" ht="15.75" hidden="1">
      <c r="A56" s="68"/>
      <c r="B56" s="125" t="s">
        <v>126</v>
      </c>
      <c r="C56" s="126"/>
      <c r="D56" s="126"/>
      <c r="E56" s="126"/>
      <c r="F56" s="127"/>
      <c r="G56" s="140"/>
      <c r="J56" s="106"/>
    </row>
    <row r="57" spans="1:10" ht="15.75">
      <c r="A57" s="68"/>
      <c r="B57" s="120" t="s">
        <v>127</v>
      </c>
      <c r="C57" s="121"/>
      <c r="D57" s="121"/>
      <c r="E57" s="121"/>
      <c r="F57" s="122"/>
      <c r="G57" s="134">
        <f>(163500234-14603443)/14603443</f>
        <v>10.196005900800243</v>
      </c>
    </row>
    <row r="58" spans="1:10" ht="15.75">
      <c r="A58" s="68"/>
      <c r="B58" s="125" t="s">
        <v>128</v>
      </c>
      <c r="C58" s="126"/>
      <c r="D58" s="126"/>
      <c r="E58" s="126"/>
      <c r="F58" s="127"/>
      <c r="G58" s="135"/>
    </row>
    <row r="59" spans="1:10" ht="15.75">
      <c r="A59" s="68"/>
      <c r="B59" s="120" t="s">
        <v>129</v>
      </c>
      <c r="C59" s="121"/>
      <c r="D59" s="121"/>
      <c r="E59" s="121"/>
      <c r="F59" s="122"/>
      <c r="G59" s="134">
        <f>2572/14596</f>
        <v>0.17621266100301453</v>
      </c>
    </row>
    <row r="60" spans="1:10" ht="15.75">
      <c r="A60" s="68"/>
      <c r="B60" s="125" t="s">
        <v>130</v>
      </c>
      <c r="C60" s="126"/>
      <c r="D60" s="126"/>
      <c r="E60" s="126"/>
      <c r="F60" s="127"/>
      <c r="G60" s="144"/>
    </row>
    <row r="61" spans="1:10" ht="15.75">
      <c r="A61" s="68"/>
      <c r="B61" s="72"/>
      <c r="C61" s="69"/>
      <c r="D61" s="70"/>
      <c r="E61" s="70"/>
      <c r="F61" s="70"/>
      <c r="G61" s="81"/>
    </row>
    <row r="62" spans="1:10" ht="15.75">
      <c r="A62" s="68"/>
      <c r="B62" s="72"/>
      <c r="C62" s="69"/>
      <c r="D62" s="70"/>
      <c r="E62" s="70"/>
      <c r="F62" s="70"/>
      <c r="G62" s="136"/>
    </row>
    <row r="63" spans="1:10" ht="15.75">
      <c r="A63" s="68" t="s">
        <v>131</v>
      </c>
      <c r="B63" s="72"/>
      <c r="C63" s="69"/>
      <c r="D63" s="70"/>
      <c r="E63" s="70"/>
      <c r="F63" s="70"/>
      <c r="G63" s="137"/>
    </row>
    <row r="64" spans="1:10" ht="15.75">
      <c r="A64" s="68"/>
      <c r="B64" s="120" t="s">
        <v>132</v>
      </c>
      <c r="C64" s="121"/>
      <c r="D64" s="121"/>
      <c r="E64" s="121"/>
      <c r="F64" s="122"/>
      <c r="G64" s="123">
        <v>1.1379999999999999</v>
      </c>
    </row>
    <row r="65" spans="1:7" ht="15.75">
      <c r="A65" s="68"/>
      <c r="B65" s="125" t="s">
        <v>133</v>
      </c>
      <c r="C65" s="126"/>
      <c r="D65" s="126"/>
      <c r="E65" s="126"/>
      <c r="F65" s="127"/>
      <c r="G65" s="128"/>
    </row>
    <row r="66" spans="1:7" ht="15.75">
      <c r="A66" s="68"/>
      <c r="B66" s="120" t="s">
        <v>134</v>
      </c>
      <c r="C66" s="121"/>
      <c r="D66" s="121"/>
      <c r="E66" s="121"/>
      <c r="F66" s="122"/>
      <c r="G66" s="123">
        <v>0.14499999999999999</v>
      </c>
    </row>
    <row r="67" spans="1:7" ht="15.75">
      <c r="A67" s="68"/>
      <c r="B67" s="125" t="s">
        <v>135</v>
      </c>
      <c r="C67" s="126"/>
      <c r="D67" s="126"/>
      <c r="E67" s="126"/>
      <c r="F67" s="127"/>
      <c r="G67" s="128"/>
    </row>
    <row r="68" spans="1:7" ht="15.75">
      <c r="A68" s="68"/>
      <c r="B68" s="120" t="s">
        <v>136</v>
      </c>
      <c r="C68" s="121"/>
      <c r="D68" s="121"/>
      <c r="E68" s="121"/>
      <c r="F68" s="122"/>
      <c r="G68" s="133">
        <f>12748/16343</f>
        <v>0.78002814660711006</v>
      </c>
    </row>
    <row r="69" spans="1:7" ht="15.75">
      <c r="A69" s="68"/>
      <c r="B69" s="125" t="s">
        <v>137</v>
      </c>
      <c r="C69" s="126"/>
      <c r="D69" s="126"/>
      <c r="E69" s="126"/>
      <c r="F69" s="127"/>
      <c r="G69" s="124"/>
    </row>
    <row r="70" spans="1:7" ht="15.75">
      <c r="A70" s="68"/>
      <c r="B70" s="73" t="s">
        <v>138</v>
      </c>
      <c r="C70" s="74"/>
      <c r="D70" s="75"/>
      <c r="E70" s="75"/>
      <c r="F70" s="75"/>
      <c r="G70" s="123">
        <v>0.14499999999999999</v>
      </c>
    </row>
    <row r="71" spans="1:7" ht="15.75">
      <c r="A71" s="68"/>
      <c r="B71" s="125" t="s">
        <v>139</v>
      </c>
      <c r="C71" s="126"/>
      <c r="D71" s="126"/>
      <c r="E71" s="126"/>
      <c r="F71" s="127"/>
      <c r="G71" s="128"/>
    </row>
    <row r="72" spans="1:7" ht="15.75" hidden="1">
      <c r="A72" s="68"/>
      <c r="B72" s="120" t="s">
        <v>140</v>
      </c>
      <c r="C72" s="121"/>
      <c r="D72" s="121"/>
      <c r="E72" s="121"/>
      <c r="F72" s="122"/>
      <c r="G72" s="123"/>
    </row>
    <row r="73" spans="1:7" ht="15.75" hidden="1">
      <c r="A73" s="68"/>
      <c r="B73" s="125" t="s">
        <v>141</v>
      </c>
      <c r="C73" s="126"/>
      <c r="D73" s="126"/>
      <c r="E73" s="126"/>
      <c r="F73" s="127"/>
      <c r="G73" s="124"/>
    </row>
    <row r="74" spans="1:7" ht="15.75" hidden="1">
      <c r="A74" s="68"/>
      <c r="B74" s="120" t="s">
        <v>142</v>
      </c>
      <c r="C74" s="121"/>
      <c r="D74" s="121"/>
      <c r="E74" s="121"/>
      <c r="F74" s="122"/>
      <c r="G74" s="123"/>
    </row>
    <row r="75" spans="1:7" ht="15.75" hidden="1">
      <c r="A75" s="68"/>
      <c r="B75" s="125" t="s">
        <v>143</v>
      </c>
      <c r="C75" s="126"/>
      <c r="D75" s="126"/>
      <c r="E75" s="126"/>
      <c r="F75" s="127"/>
      <c r="G75" s="124"/>
    </row>
    <row r="76" spans="1:7" ht="15.75" hidden="1">
      <c r="A76" s="68"/>
      <c r="B76" s="73" t="s">
        <v>144</v>
      </c>
      <c r="C76" s="74"/>
      <c r="D76" s="75"/>
      <c r="E76" s="75"/>
      <c r="F76" s="75"/>
      <c r="G76" s="123"/>
    </row>
    <row r="77" spans="1:7" ht="15.75" hidden="1">
      <c r="A77" s="68"/>
      <c r="B77" s="125" t="s">
        <v>145</v>
      </c>
      <c r="C77" s="126"/>
      <c r="D77" s="126"/>
      <c r="E77" s="126"/>
      <c r="F77" s="127"/>
      <c r="G77" s="124"/>
    </row>
    <row r="78" spans="1:7" ht="15.75">
      <c r="A78" s="68"/>
      <c r="B78" s="69"/>
      <c r="G78" s="82"/>
    </row>
    <row r="79" spans="1:7">
      <c r="A79" s="71"/>
      <c r="B79" s="71"/>
      <c r="C79" s="71"/>
      <c r="D79" s="71"/>
      <c r="E79" s="71"/>
      <c r="F79" s="71"/>
      <c r="G79" s="79"/>
    </row>
    <row r="80" spans="1:7" ht="15.75">
      <c r="A80" s="68" t="s">
        <v>146</v>
      </c>
      <c r="B80" s="72"/>
      <c r="C80" s="69"/>
      <c r="D80" s="70"/>
      <c r="E80" s="70"/>
      <c r="F80" s="70"/>
      <c r="G80" s="80"/>
    </row>
    <row r="81" spans="1:7" ht="15.75">
      <c r="A81" s="68"/>
      <c r="B81" s="120" t="s">
        <v>147</v>
      </c>
      <c r="C81" s="121"/>
      <c r="D81" s="121"/>
      <c r="E81" s="121"/>
      <c r="F81" s="122"/>
      <c r="G81" s="123">
        <v>0.63300000000000001</v>
      </c>
    </row>
    <row r="82" spans="1:7" ht="15.75">
      <c r="A82" s="68"/>
      <c r="B82" s="125" t="s">
        <v>148</v>
      </c>
      <c r="C82" s="126"/>
      <c r="D82" s="126"/>
      <c r="E82" s="126"/>
      <c r="F82" s="127"/>
      <c r="G82" s="128"/>
    </row>
    <row r="83" spans="1:7" ht="15.75">
      <c r="A83" s="68"/>
      <c r="B83" s="120" t="s">
        <v>149</v>
      </c>
      <c r="C83" s="121"/>
      <c r="D83" s="121"/>
      <c r="E83" s="121"/>
      <c r="F83" s="122"/>
      <c r="G83" s="123">
        <f>7800/29748</f>
        <v>0.26220250100847114</v>
      </c>
    </row>
    <row r="84" spans="1:7" ht="15.75">
      <c r="A84" s="68"/>
      <c r="B84" s="125" t="s">
        <v>150</v>
      </c>
      <c r="C84" s="126"/>
      <c r="D84" s="126"/>
      <c r="E84" s="126"/>
      <c r="F84" s="127"/>
      <c r="G84" s="128"/>
    </row>
    <row r="85" spans="1:7" ht="15.75">
      <c r="A85" s="68"/>
      <c r="B85" s="120" t="s">
        <v>151</v>
      </c>
      <c r="C85" s="121"/>
      <c r="D85" s="121"/>
      <c r="E85" s="121"/>
      <c r="F85" s="122"/>
      <c r="G85" s="131">
        <f>308689010/163500234</f>
        <v>1.8880034752733137</v>
      </c>
    </row>
    <row r="86" spans="1:7" ht="15.75">
      <c r="A86" s="68"/>
      <c r="B86" s="125" t="s">
        <v>152</v>
      </c>
      <c r="C86" s="126"/>
      <c r="D86" s="126"/>
      <c r="E86" s="126"/>
      <c r="F86" s="127"/>
      <c r="G86" s="132"/>
    </row>
    <row r="87" spans="1:7" ht="15.75">
      <c r="A87" s="68"/>
      <c r="B87" s="120" t="s">
        <v>153</v>
      </c>
      <c r="C87" s="121"/>
      <c r="D87" s="121"/>
      <c r="E87" s="121"/>
      <c r="F87" s="122"/>
      <c r="G87" s="123">
        <v>0</v>
      </c>
    </row>
    <row r="88" spans="1:7" ht="15.75">
      <c r="A88" s="68"/>
      <c r="B88" s="125" t="s">
        <v>154</v>
      </c>
      <c r="C88" s="126"/>
      <c r="D88" s="126"/>
      <c r="E88" s="126"/>
      <c r="F88" s="127"/>
      <c r="G88" s="128"/>
    </row>
    <row r="89" spans="1:7" ht="15.75">
      <c r="A89" s="68"/>
      <c r="B89" s="120" t="s">
        <v>155</v>
      </c>
      <c r="C89" s="121"/>
      <c r="D89" s="121"/>
      <c r="E89" s="121"/>
      <c r="F89" s="122"/>
      <c r="G89" s="123">
        <v>0</v>
      </c>
    </row>
    <row r="90" spans="1:7" ht="15.75">
      <c r="A90" s="68"/>
      <c r="B90" s="125" t="s">
        <v>156</v>
      </c>
      <c r="C90" s="126"/>
      <c r="D90" s="126"/>
      <c r="E90" s="126"/>
      <c r="F90" s="127"/>
      <c r="G90" s="128"/>
    </row>
    <row r="91" spans="1:7" ht="15.75">
      <c r="A91" s="68"/>
      <c r="B91" s="120" t="s">
        <v>157</v>
      </c>
      <c r="C91" s="121"/>
      <c r="D91" s="121"/>
      <c r="E91" s="121"/>
      <c r="F91" s="122"/>
      <c r="G91" s="123">
        <f>21948/29748</f>
        <v>0.7377974989915288</v>
      </c>
    </row>
    <row r="92" spans="1:7" ht="15.75">
      <c r="A92" s="68"/>
      <c r="B92" s="125" t="s">
        <v>158</v>
      </c>
      <c r="C92" s="126"/>
      <c r="D92" s="126"/>
      <c r="E92" s="126"/>
      <c r="F92" s="127"/>
      <c r="G92" s="128"/>
    </row>
    <row r="93" spans="1:7" ht="15.75">
      <c r="A93" s="68"/>
      <c r="B93" s="120" t="s">
        <v>159</v>
      </c>
      <c r="C93" s="121"/>
      <c r="D93" s="121"/>
      <c r="E93" s="121"/>
      <c r="F93" s="122"/>
      <c r="G93" s="129">
        <f>((163500234-124000000)-63000000)/100376591</f>
        <v>-0.23411600021363546</v>
      </c>
    </row>
    <row r="94" spans="1:7" ht="15.75">
      <c r="A94" s="68"/>
      <c r="B94" s="125" t="s">
        <v>160</v>
      </c>
      <c r="C94" s="126"/>
      <c r="D94" s="126"/>
      <c r="E94" s="126"/>
      <c r="F94" s="127"/>
      <c r="G94" s="130"/>
    </row>
    <row r="95" spans="1:7" ht="15.75">
      <c r="A95" s="68"/>
      <c r="B95" s="120" t="s">
        <v>161</v>
      </c>
      <c r="C95" s="121"/>
      <c r="D95" s="121"/>
      <c r="E95" s="121"/>
      <c r="F95" s="122"/>
      <c r="G95" s="123">
        <v>0</v>
      </c>
    </row>
    <row r="96" spans="1:7" ht="15.75">
      <c r="A96" s="68"/>
      <c r="B96" s="125" t="s">
        <v>162</v>
      </c>
      <c r="C96" s="126"/>
      <c r="D96" s="126"/>
      <c r="E96" s="126"/>
      <c r="F96" s="127"/>
      <c r="G96" s="124"/>
    </row>
    <row r="97" spans="1:10" ht="15.75" hidden="1">
      <c r="A97" s="68"/>
      <c r="B97" s="120" t="s">
        <v>163</v>
      </c>
      <c r="C97" s="121"/>
      <c r="D97" s="121"/>
      <c r="E97" s="121"/>
      <c r="F97" s="122"/>
      <c r="G97" s="123"/>
    </row>
    <row r="98" spans="1:10" ht="15.75" hidden="1">
      <c r="A98" s="68"/>
      <c r="B98" s="125" t="s">
        <v>164</v>
      </c>
      <c r="C98" s="126"/>
      <c r="D98" s="126"/>
      <c r="E98" s="126"/>
      <c r="F98" s="127"/>
      <c r="G98" s="124"/>
    </row>
    <row r="99" spans="1:10" ht="15.75">
      <c r="A99" s="68"/>
      <c r="B99" s="120" t="s">
        <v>165</v>
      </c>
      <c r="C99" s="121"/>
      <c r="D99" s="121"/>
      <c r="E99" s="121"/>
      <c r="F99" s="122"/>
      <c r="G99" s="123">
        <f>1-G83</f>
        <v>0.7377974989915288</v>
      </c>
    </row>
    <row r="100" spans="1:10" ht="15.75">
      <c r="A100" s="68"/>
      <c r="B100" s="125" t="s">
        <v>166</v>
      </c>
      <c r="C100" s="126"/>
      <c r="D100" s="126"/>
      <c r="E100" s="126"/>
      <c r="F100" s="127"/>
      <c r="G100" s="124"/>
    </row>
    <row r="101" spans="1:10" ht="15.75">
      <c r="A101" s="68"/>
      <c r="B101" s="120" t="s">
        <v>167</v>
      </c>
      <c r="C101" s="121"/>
      <c r="D101" s="121"/>
      <c r="E101" s="121"/>
      <c r="F101" s="122"/>
      <c r="G101" s="123">
        <f>1480/12933</f>
        <v>0.1144359390705946</v>
      </c>
    </row>
    <row r="102" spans="1:10" ht="15.75">
      <c r="A102" s="68"/>
      <c r="B102" s="125" t="s">
        <v>168</v>
      </c>
      <c r="C102" s="126"/>
      <c r="D102" s="126"/>
      <c r="E102" s="126"/>
      <c r="F102" s="127"/>
      <c r="G102" s="124"/>
    </row>
    <row r="105" spans="1:10" ht="15.75">
      <c r="A105" s="102" t="s">
        <v>213</v>
      </c>
      <c r="B105" s="103"/>
      <c r="C105" s="104"/>
      <c r="D105" s="105"/>
      <c r="E105" s="105"/>
      <c r="F105" s="105"/>
      <c r="G105" s="105"/>
    </row>
    <row r="106" spans="1:10" ht="15.75">
      <c r="A106" s="102"/>
      <c r="B106" s="154" t="s">
        <v>214</v>
      </c>
      <c r="C106" s="155"/>
      <c r="D106" s="155"/>
      <c r="E106" s="155"/>
      <c r="F106" s="156"/>
      <c r="G106" s="131">
        <f>308689010/100376591</f>
        <v>3.0753087639726675</v>
      </c>
      <c r="J106" s="106"/>
    </row>
    <row r="107" spans="1:10" ht="15.75">
      <c r="A107" s="102"/>
      <c r="B107" s="151" t="s">
        <v>215</v>
      </c>
      <c r="C107" s="152"/>
      <c r="D107" s="152"/>
      <c r="E107" s="152"/>
      <c r="F107" s="153"/>
      <c r="G107" s="132"/>
    </row>
    <row r="108" spans="1:10" ht="15.75">
      <c r="A108" s="102"/>
      <c r="B108" s="154" t="s">
        <v>216</v>
      </c>
      <c r="C108" s="155"/>
      <c r="D108" s="155"/>
      <c r="E108" s="155"/>
      <c r="F108" s="156"/>
      <c r="G108" s="131">
        <f>308689010/163500234</f>
        <v>1.8880034752733137</v>
      </c>
    </row>
    <row r="109" spans="1:10" ht="15.75">
      <c r="A109" s="102"/>
      <c r="B109" s="151" t="s">
        <v>217</v>
      </c>
      <c r="C109" s="152"/>
      <c r="D109" s="152"/>
      <c r="E109" s="152"/>
      <c r="F109" s="153"/>
      <c r="G109" s="132"/>
    </row>
    <row r="110" spans="1:10" ht="15.75">
      <c r="A110" s="102"/>
      <c r="B110" s="154" t="s">
        <v>218</v>
      </c>
      <c r="C110" s="155"/>
      <c r="D110" s="155"/>
      <c r="E110" s="155"/>
      <c r="F110" s="156"/>
      <c r="G110" s="131">
        <f>2252137/308689010</f>
        <v>7.2958120536911891E-3</v>
      </c>
      <c r="J110" s="106"/>
    </row>
    <row r="111" spans="1:10" ht="15.75">
      <c r="A111" s="102"/>
      <c r="B111" s="151" t="s">
        <v>219</v>
      </c>
      <c r="C111" s="152"/>
      <c r="D111" s="152"/>
      <c r="E111" s="152"/>
      <c r="F111" s="153"/>
      <c r="G111" s="132"/>
    </row>
  </sheetData>
  <mergeCells count="143">
    <mergeCell ref="B111:F111"/>
    <mergeCell ref="B106:F106"/>
    <mergeCell ref="B108:F108"/>
    <mergeCell ref="B110:F110"/>
    <mergeCell ref="B107:F107"/>
    <mergeCell ref="B109:F109"/>
    <mergeCell ref="G110:G111"/>
    <mergeCell ref="G106:G107"/>
    <mergeCell ref="G108:G109"/>
    <mergeCell ref="B3:F3"/>
    <mergeCell ref="G3:G4"/>
    <mergeCell ref="B4:F4"/>
    <mergeCell ref="B5:F5"/>
    <mergeCell ref="G5:G6"/>
    <mergeCell ref="B6:F6"/>
    <mergeCell ref="B11:F11"/>
    <mergeCell ref="G11:G12"/>
    <mergeCell ref="B12:F12"/>
    <mergeCell ref="B13:F13"/>
    <mergeCell ref="G13:G14"/>
    <mergeCell ref="B14:F14"/>
    <mergeCell ref="B7:F7"/>
    <mergeCell ref="G7:G8"/>
    <mergeCell ref="B8:F8"/>
    <mergeCell ref="B9:F9"/>
    <mergeCell ref="G9:G10"/>
    <mergeCell ref="B10:F10"/>
    <mergeCell ref="B19:F19"/>
    <mergeCell ref="G19:G20"/>
    <mergeCell ref="B20:F20"/>
    <mergeCell ref="B21:F21"/>
    <mergeCell ref="G21:G22"/>
    <mergeCell ref="B22:F22"/>
    <mergeCell ref="B15:F15"/>
    <mergeCell ref="G15:G16"/>
    <mergeCell ref="B16:F16"/>
    <mergeCell ref="B17:F17"/>
    <mergeCell ref="G17:G18"/>
    <mergeCell ref="B18:F18"/>
    <mergeCell ref="B27:F27"/>
    <mergeCell ref="G27:G28"/>
    <mergeCell ref="B28:F28"/>
    <mergeCell ref="B29:F29"/>
    <mergeCell ref="G29:G30"/>
    <mergeCell ref="B30:F30"/>
    <mergeCell ref="B23:F23"/>
    <mergeCell ref="G23:G24"/>
    <mergeCell ref="B24:F24"/>
    <mergeCell ref="B25:F25"/>
    <mergeCell ref="G25:G26"/>
    <mergeCell ref="B26:F26"/>
    <mergeCell ref="B35:F35"/>
    <mergeCell ref="G35:G36"/>
    <mergeCell ref="B36:F36"/>
    <mergeCell ref="B37:F37"/>
    <mergeCell ref="G37:G38"/>
    <mergeCell ref="B38:F38"/>
    <mergeCell ref="B31:F31"/>
    <mergeCell ref="G31:G32"/>
    <mergeCell ref="B32:F32"/>
    <mergeCell ref="B33:F33"/>
    <mergeCell ref="G33:G34"/>
    <mergeCell ref="B34:F34"/>
    <mergeCell ref="G46:G47"/>
    <mergeCell ref="B47:F47"/>
    <mergeCell ref="B48:F48"/>
    <mergeCell ref="G48:G49"/>
    <mergeCell ref="B49:F49"/>
    <mergeCell ref="B50:F50"/>
    <mergeCell ref="G50:G51"/>
    <mergeCell ref="B51:F51"/>
    <mergeCell ref="B42:F42"/>
    <mergeCell ref="G42:G43"/>
    <mergeCell ref="B43:F43"/>
    <mergeCell ref="B44:F44"/>
    <mergeCell ref="G44:G45"/>
    <mergeCell ref="B45:F45"/>
    <mergeCell ref="B57:F57"/>
    <mergeCell ref="G57:G58"/>
    <mergeCell ref="B58:F58"/>
    <mergeCell ref="B59:F59"/>
    <mergeCell ref="B60:F60"/>
    <mergeCell ref="G62:G63"/>
    <mergeCell ref="B52:F52"/>
    <mergeCell ref="G52:G53"/>
    <mergeCell ref="B53:F53"/>
    <mergeCell ref="G54:G56"/>
    <mergeCell ref="B55:F55"/>
    <mergeCell ref="B56:F56"/>
    <mergeCell ref="G59:G60"/>
    <mergeCell ref="B68:F68"/>
    <mergeCell ref="G68:G69"/>
    <mergeCell ref="B69:F69"/>
    <mergeCell ref="G70:G71"/>
    <mergeCell ref="B71:F71"/>
    <mergeCell ref="B72:F72"/>
    <mergeCell ref="G72:G73"/>
    <mergeCell ref="B73:F73"/>
    <mergeCell ref="B64:F64"/>
    <mergeCell ref="G64:G65"/>
    <mergeCell ref="B65:F65"/>
    <mergeCell ref="B66:F66"/>
    <mergeCell ref="G66:G67"/>
    <mergeCell ref="B67:F67"/>
    <mergeCell ref="B90:F90"/>
    <mergeCell ref="B83:F83"/>
    <mergeCell ref="G83:G84"/>
    <mergeCell ref="B84:F84"/>
    <mergeCell ref="B85:F85"/>
    <mergeCell ref="G85:G86"/>
    <mergeCell ref="B86:F86"/>
    <mergeCell ref="B74:F74"/>
    <mergeCell ref="G74:G75"/>
    <mergeCell ref="B75:F75"/>
    <mergeCell ref="G76:G77"/>
    <mergeCell ref="B77:F77"/>
    <mergeCell ref="B81:F81"/>
    <mergeCell ref="G81:G82"/>
    <mergeCell ref="B82:F82"/>
    <mergeCell ref="A1:G1"/>
    <mergeCell ref="B99:F99"/>
    <mergeCell ref="G99:G100"/>
    <mergeCell ref="B100:F100"/>
    <mergeCell ref="B101:F101"/>
    <mergeCell ref="G101:G102"/>
    <mergeCell ref="B102:F102"/>
    <mergeCell ref="B95:F95"/>
    <mergeCell ref="G95:G96"/>
    <mergeCell ref="B96:F96"/>
    <mergeCell ref="B97:F97"/>
    <mergeCell ref="G97:G98"/>
    <mergeCell ref="B98:F98"/>
    <mergeCell ref="B91:F91"/>
    <mergeCell ref="G91:G92"/>
    <mergeCell ref="B92:F92"/>
    <mergeCell ref="B93:F93"/>
    <mergeCell ref="G93:G94"/>
    <mergeCell ref="B94:F94"/>
    <mergeCell ref="B87:F87"/>
    <mergeCell ref="G87:G88"/>
    <mergeCell ref="B88:F88"/>
    <mergeCell ref="B89:F89"/>
    <mergeCell ref="G89:G90"/>
  </mergeCells>
  <pageMargins left="0.7" right="0.7" top="0.75" bottom="0.75" header="0.3" footer="0.3"/>
  <ignoredErrors>
    <ignoredError sqref="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Financial Highlights</vt:lpstr>
      <vt:lpstr>Balance Sheet</vt:lpstr>
      <vt:lpstr>Income Statement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serhat keleş</dc:creator>
  <cp:lastModifiedBy>saq dswd</cp:lastModifiedBy>
  <dcterms:created xsi:type="dcterms:W3CDTF">2019-10-28T13:11:10Z</dcterms:created>
  <dcterms:modified xsi:type="dcterms:W3CDTF">2019-12-23T12:14:49Z</dcterms:modified>
</cp:coreProperties>
</file>