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ulentsenver/Desktop/"/>
    </mc:Choice>
  </mc:AlternateContent>
  <xr:revisionPtr revIDLastSave="0" documentId="13_ncr:1_{3422244A-E535-FD41-A883-DBE4A660983C}" xr6:coauthVersionLast="45" xr6:coauthVersionMax="45" xr10:uidLastSave="{00000000-0000-0000-0000-000000000000}"/>
  <bookViews>
    <workbookView xWindow="980" yWindow="460" windowWidth="22220" windowHeight="11840" xr2:uid="{F7EFF81A-C61C-4CD0-B778-E6477E70FE7F}"/>
  </bookViews>
  <sheets>
    <sheet name="Analysis" sheetId="1" r:id="rId1"/>
    <sheet name="BankRatioAnalysis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0" i="3" l="1"/>
  <c r="G108" i="3"/>
  <c r="G87" i="3"/>
  <c r="G51" i="3"/>
  <c r="G72" i="3"/>
  <c r="G99" i="3"/>
  <c r="G59" i="3"/>
  <c r="J6" i="3"/>
  <c r="G101" i="3" l="1"/>
  <c r="G91" i="3"/>
  <c r="G66" i="3"/>
  <c r="G74" i="3"/>
  <c r="G68" i="3"/>
  <c r="G70" i="3"/>
  <c r="G61" i="3"/>
  <c r="G97" i="3" l="1"/>
  <c r="G93" i="3"/>
  <c r="G89" i="3"/>
  <c r="G85" i="3"/>
  <c r="G83" i="3"/>
  <c r="G55" i="3"/>
  <c r="G53" i="3"/>
  <c r="G49" i="3"/>
  <c r="G6" i="3"/>
  <c r="G20" i="3"/>
  <c r="G28" i="3"/>
  <c r="E13" i="1"/>
  <c r="E14" i="1"/>
  <c r="H13" i="1"/>
  <c r="I13" i="1"/>
  <c r="I7" i="1"/>
  <c r="G47" i="3"/>
  <c r="G45" i="3"/>
  <c r="J9" i="3"/>
  <c r="J8" i="3"/>
  <c r="G38" i="3" s="1"/>
  <c r="J7" i="3"/>
  <c r="G36" i="3" s="1"/>
  <c r="G34" i="3"/>
  <c r="G18" i="3"/>
  <c r="G12" i="3"/>
  <c r="J5" i="3"/>
  <c r="J4" i="3"/>
  <c r="G30" i="3" s="1"/>
  <c r="G32" i="3"/>
  <c r="G26" i="3"/>
  <c r="G24" i="3"/>
  <c r="G22" i="3"/>
  <c r="G16" i="3"/>
  <c r="G10" i="3"/>
  <c r="G8" i="3"/>
  <c r="H21" i="1"/>
  <c r="G95" i="3" l="1"/>
  <c r="G40" i="3"/>
  <c r="G14" i="3"/>
  <c r="E18" i="1"/>
  <c r="E17" i="1"/>
  <c r="E16" i="1"/>
  <c r="I15" i="1"/>
  <c r="I16" i="1"/>
  <c r="I17" i="1"/>
  <c r="I18" i="1"/>
  <c r="H16" i="1"/>
  <c r="H17" i="1"/>
  <c r="H18" i="1"/>
  <c r="H7" i="1"/>
  <c r="E7" i="1"/>
  <c r="E27" i="1" l="1"/>
  <c r="E25" i="1"/>
  <c r="E26" i="1"/>
  <c r="E28" i="1"/>
  <c r="E29" i="1"/>
  <c r="E30" i="1"/>
  <c r="E31" i="1"/>
  <c r="E32" i="1"/>
  <c r="E33" i="1"/>
  <c r="E34" i="1"/>
  <c r="E35" i="1"/>
  <c r="E36" i="1"/>
  <c r="E37" i="1"/>
  <c r="E38" i="1"/>
  <c r="E24" i="1"/>
  <c r="E15" i="1"/>
  <c r="E19" i="1"/>
  <c r="E20" i="1"/>
  <c r="E21" i="1"/>
  <c r="E22" i="1"/>
  <c r="E4" i="1"/>
  <c r="E5" i="1"/>
  <c r="E6" i="1"/>
  <c r="E8" i="1"/>
  <c r="E9" i="1"/>
  <c r="E10" i="1"/>
  <c r="E11" i="1"/>
  <c r="E3" i="1"/>
  <c r="H14" i="1"/>
  <c r="I14" i="1"/>
  <c r="H15" i="1"/>
  <c r="H19" i="1"/>
  <c r="I19" i="1"/>
  <c r="H20" i="1"/>
  <c r="I20" i="1"/>
  <c r="I21" i="1"/>
  <c r="I22" i="1"/>
  <c r="H22" i="1"/>
  <c r="H3" i="1"/>
  <c r="I3" i="1"/>
  <c r="H4" i="1"/>
  <c r="I4" i="1"/>
  <c r="H5" i="1"/>
  <c r="I5" i="1"/>
  <c r="H6" i="1"/>
  <c r="I6" i="1"/>
  <c r="H8" i="1"/>
  <c r="I8" i="1"/>
  <c r="H9" i="1"/>
  <c r="I9" i="1"/>
  <c r="H10" i="1"/>
  <c r="I10" i="1"/>
  <c r="I11" i="1"/>
  <c r="H11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I24" i="1"/>
  <c r="H24" i="1"/>
</calcChain>
</file>

<file path=xl/sharedStrings.xml><?xml version="1.0" encoding="utf-8"?>
<sst xmlns="http://schemas.openxmlformats.org/spreadsheetml/2006/main" count="279" uniqueCount="220">
  <si>
    <t>ASSETS (TL thousand)</t>
  </si>
  <si>
    <t>Cash and Equivalents</t>
  </si>
  <si>
    <t xml:space="preserve">Banks and Receivables from Interbank Money Markets </t>
  </si>
  <si>
    <t>Securities (Net)</t>
  </si>
  <si>
    <t>Loans</t>
  </si>
  <si>
    <t>Associates and Subsidiaries (Net)</t>
  </si>
  <si>
    <t>Fixed Assets (Net)</t>
  </si>
  <si>
    <t xml:space="preserve">Other Assets </t>
  </si>
  <si>
    <t>Total Assets</t>
  </si>
  <si>
    <t>LIABILITIES (TL thousand)</t>
  </si>
  <si>
    <t>Deposits</t>
  </si>
  <si>
    <t>Funds Borrowed and Interbank Money Market Placements</t>
  </si>
  <si>
    <t>Provisions</t>
  </si>
  <si>
    <t>Other Liabilities</t>
  </si>
  <si>
    <t>Shareholders’ Equity</t>
  </si>
  <si>
    <t>2017/12</t>
  </si>
  <si>
    <t>2018/12</t>
  </si>
  <si>
    <t>INCOME STATEMENT (TL thousand)</t>
  </si>
  <si>
    <t>Interest Expenses</t>
  </si>
  <si>
    <t>Net Interest Income</t>
  </si>
  <si>
    <t>Net Trading Income</t>
  </si>
  <si>
    <t>Net Fees and Commissions Income</t>
  </si>
  <si>
    <t>Dividend Income</t>
  </si>
  <si>
    <t>Other Operating Income</t>
  </si>
  <si>
    <t>Total Operating Income</t>
  </si>
  <si>
    <t>Operating Expenses</t>
  </si>
  <si>
    <t xml:space="preserve">NET OPERATING PROFIT/LOSS </t>
  </si>
  <si>
    <t>Provision for Losses on Loans and Other Receivables</t>
  </si>
  <si>
    <t>Profit/Loss from subsidiaries Based on Equity Method</t>
  </si>
  <si>
    <t>PROFIT/(LOSS) BEFORE TAXES</t>
  </si>
  <si>
    <t>NET PERIOD PROFIT/(LOSS)</t>
  </si>
  <si>
    <t>Provision for Taxes</t>
  </si>
  <si>
    <t>VERTICAL ANALYSIS</t>
  </si>
  <si>
    <t>3,363,250</t>
  </si>
  <si>
    <t>4,888,627</t>
  </si>
  <si>
    <t>35,060,422</t>
  </si>
  <si>
    <t>43,630,394</t>
  </si>
  <si>
    <t>57,351,543</t>
  </si>
  <si>
    <t>68,133,659</t>
  </si>
  <si>
    <t>239,408,795</t>
  </si>
  <si>
    <t>260,316,291</t>
  </si>
  <si>
    <t>13,802,243</t>
  </si>
  <si>
    <t>17,638,720</t>
  </si>
  <si>
    <t>5,162,561</t>
  </si>
  <si>
    <t>5,996,958</t>
  </si>
  <si>
    <t>8,094,719</t>
  </si>
  <si>
    <t>15,782,955</t>
  </si>
  <si>
    <t>362,243,533</t>
  </si>
  <si>
    <t>416,387,604</t>
  </si>
  <si>
    <t>92,457,257</t>
  </si>
  <si>
    <t>94,468,343</t>
  </si>
  <si>
    <t>14,241,243</t>
  </si>
  <si>
    <t>20,673,329</t>
  </si>
  <si>
    <t>42,984,267</t>
  </si>
  <si>
    <t>49,720,624</t>
  </si>
  <si>
    <t>27,655,465</t>
  </si>
  <si>
    <t>38,840,381</t>
  </si>
  <si>
    <t>14,447,809</t>
  </si>
  <si>
    <t>21,788,130</t>
  </si>
  <si>
    <t>13,207,656</t>
  </si>
  <si>
    <t>17,052,251</t>
  </si>
  <si>
    <t>-1,878,444</t>
  </si>
  <si>
    <t>-4,071,660</t>
  </si>
  <si>
    <t>3,373,715</t>
  </si>
  <si>
    <t>4,405,201</t>
  </si>
  <si>
    <t>1,146,647</t>
  </si>
  <si>
    <t>1,912,307</t>
  </si>
  <si>
    <t>15,860,646</t>
  </si>
  <si>
    <t>19,304,524</t>
  </si>
  <si>
    <t>7,395,787</t>
  </si>
  <si>
    <t>8,039,721</t>
  </si>
  <si>
    <t>8,464,859</t>
  </si>
  <si>
    <t>11,264,803</t>
  </si>
  <si>
    <t>2,633,246</t>
  </si>
  <si>
    <t>6,343,674</t>
  </si>
  <si>
    <t>1,610,386</t>
  </si>
  <si>
    <t>2,808,736</t>
  </si>
  <si>
    <t>7,441,999</t>
  </si>
  <si>
    <t>7,729,865</t>
  </si>
  <si>
    <t>1,240,720</t>
  </si>
  <si>
    <t>6,201,279</t>
  </si>
  <si>
    <t>6,769,085</t>
  </si>
  <si>
    <t>LIABILITIES AND SH.EQ. (TL thousand)</t>
  </si>
  <si>
    <t>Total Liabilities and Shareholder Equities</t>
  </si>
  <si>
    <t>HORIZONTAL ANALYSIS</t>
  </si>
  <si>
    <t>%YoY Change</t>
  </si>
  <si>
    <t xml:space="preserve">     Non Performing Loans(*)</t>
  </si>
  <si>
    <t xml:space="preserve">     Money Markets(*)</t>
  </si>
  <si>
    <t xml:space="preserve">     Securities Issued(*)</t>
  </si>
  <si>
    <t xml:space="preserve">     Derivative Financial Liabilities(*)</t>
  </si>
  <si>
    <t>Total Interest Income</t>
  </si>
  <si>
    <t>Commission Income on Contingent Liabilites &amp; Commitments / Average Contingent Liabilites &amp; Commitments</t>
    <phoneticPr fontId="0" type="noConversion"/>
  </si>
  <si>
    <t xml:space="preserve">Return on Contingent Liabilites </t>
  </si>
  <si>
    <t>Total Contingent Liabilites &amp; Commitments/ Total Assets</t>
    <phoneticPr fontId="0" type="noConversion"/>
  </si>
  <si>
    <t xml:space="preserve">Contingent Liabilites to Assets Ratio </t>
  </si>
  <si>
    <t>Total Contingent Liabilities &amp; Commitments / Total Loans</t>
    <phoneticPr fontId="0" type="noConversion"/>
  </si>
  <si>
    <t>Contingent Liabilites to Loans Ratio</t>
  </si>
  <si>
    <t>V. Off Balance Sheet Ratios</t>
  </si>
  <si>
    <t>Total Big Loans / Total Loans</t>
    <phoneticPr fontId="0" type="noConversion"/>
  </si>
  <si>
    <t xml:space="preserve">Loan Concentration Risk Ratio </t>
  </si>
  <si>
    <t>Non-Interest Earning Assets / Total Assets</t>
    <phoneticPr fontId="0" type="noConversion"/>
  </si>
  <si>
    <t>Ratio of Non-Interest Earning Assets to Total Assets</t>
  </si>
  <si>
    <t>Net Charge-Offs /  Average Loans</t>
    <phoneticPr fontId="0" type="noConversion"/>
  </si>
  <si>
    <t xml:space="preserve">Percentage of Loans Written off  </t>
  </si>
  <si>
    <t>Non Performing Loans Provision expense /  Average Loans</t>
    <phoneticPr fontId="0" type="noConversion"/>
  </si>
  <si>
    <t>Ratio of Loan Losses Expense to Total Loans</t>
  </si>
  <si>
    <t xml:space="preserve">(Non Interest Bearing Liabilities-Non Interest Earning Assets) / Interest Earning Assets </t>
    <phoneticPr fontId="0" type="noConversion"/>
  </si>
  <si>
    <t xml:space="preserve">Interest Earning Assets Funded by Net Free Funds </t>
  </si>
  <si>
    <t>(Equity Participations+Fixed Assets+Other Non-Interest Earning Assets) / Total Assets</t>
    <phoneticPr fontId="0" type="noConversion"/>
  </si>
  <si>
    <t>Ratio of Non-Interest Earning Assets in Total Assets</t>
  </si>
  <si>
    <t>Specific Loan Reserves / Non-Performing Loans</t>
    <phoneticPr fontId="0" type="noConversion"/>
  </si>
  <si>
    <t>Non-Performing Loan Reserve Ratio</t>
  </si>
  <si>
    <t>Non-Performing /  Total Loans</t>
    <phoneticPr fontId="0" type="noConversion"/>
  </si>
  <si>
    <t>Percentage of Non-Performing Loans in Total Loans</t>
  </si>
  <si>
    <t>Total Contingent Liabilites and Commitments / Total Assets</t>
    <phoneticPr fontId="0" type="noConversion"/>
  </si>
  <si>
    <t>Ratio of Contingent Liabilites and Commitments</t>
  </si>
  <si>
    <t>Interest Earning Assets / Total Assets</t>
    <phoneticPr fontId="0" type="noConversion"/>
  </si>
  <si>
    <t>Ratio of Interest Earning Assets to Total Assets</t>
  </si>
  <si>
    <t>Total Loans / Total Assets</t>
    <phoneticPr fontId="0" type="noConversion"/>
  </si>
  <si>
    <t>Percentage of Loans in Total Assets</t>
  </si>
  <si>
    <t>IV. Asset Quality Ratios</t>
  </si>
  <si>
    <t>Core Deposits / Interest Earning Assets</t>
    <phoneticPr fontId="0" type="noConversion"/>
  </si>
  <si>
    <t>Percentage of Interest Earning Assets Funded by Core Assets</t>
  </si>
  <si>
    <t>Large Volatile  Deposits / Total Deposits</t>
    <phoneticPr fontId="0" type="noConversion"/>
  </si>
  <si>
    <t>Volatile Deposits Ratio</t>
  </si>
  <si>
    <t xml:space="preserve">Liquidity Position for a Specific Period </t>
  </si>
  <si>
    <t>Liquid Assets / Total Assets</t>
    <phoneticPr fontId="0" type="noConversion"/>
  </si>
  <si>
    <t xml:space="preserve">Percentage of Liquid Assets in Total Assets </t>
  </si>
  <si>
    <t>Foreign Currency Assets / Foreign Currency Liabilities</t>
    <phoneticPr fontId="0" type="noConversion"/>
  </si>
  <si>
    <t xml:space="preserve">Ratio of Foreign Currency Assets to Foreign Currency Liabilities </t>
  </si>
  <si>
    <t>Liquid Assets / (Total Deposits + Total Borrowings)</t>
    <phoneticPr fontId="0" type="noConversion"/>
  </si>
  <si>
    <t>Liquid Assets as a percentage of Deposits and Borrowings</t>
  </si>
  <si>
    <t>Total Loans / Total Deposits</t>
    <phoneticPr fontId="0" type="noConversion"/>
  </si>
  <si>
    <t>Deposit to Loan Ratio</t>
  </si>
  <si>
    <t>III. Liquidity Ratios</t>
  </si>
  <si>
    <t>(Net Income - Dividends to be paid) / Average SHEQ</t>
    <phoneticPr fontId="0" type="noConversion"/>
  </si>
  <si>
    <t>Capital Formation Rate</t>
  </si>
  <si>
    <t>Total Debt / SHEQ</t>
    <phoneticPr fontId="0" type="noConversion"/>
  </si>
  <si>
    <t xml:space="preserve">Debt to Equity Ratio </t>
  </si>
  <si>
    <t>SHEQ / (Risk Weighted Assets + Risk Weighted Contingent Liabilites and Commitments)</t>
    <phoneticPr fontId="0" type="noConversion"/>
  </si>
  <si>
    <t>SHEQ / Total Assets</t>
    <phoneticPr fontId="0" type="noConversion"/>
  </si>
  <si>
    <t>Ratio of SHEQ as a Percantage of Total Assets</t>
  </si>
  <si>
    <t>(SHEQ-(Equity Participations+Fixed Assets)) / Total Assets</t>
    <phoneticPr fontId="0" type="noConversion"/>
  </si>
  <si>
    <t xml:space="preserve">Ratio of Net Free-Funds to Total Assets </t>
  </si>
  <si>
    <t>SHEQ / (Total Assets+Total Contingent Liabilities and Commitments)</t>
    <phoneticPr fontId="0" type="noConversion"/>
  </si>
  <si>
    <t>Ratio of SHEQ to Total Risks</t>
  </si>
  <si>
    <t>(Foreign Currecy Assets - Foreign Currency Liabilities) / SHEQ</t>
    <phoneticPr fontId="0" type="noConversion"/>
  </si>
  <si>
    <t>The Ratio of Foreign Exchange Position to SHEQ</t>
  </si>
  <si>
    <t>(Equity Participations + Fixed Assets) / SHEQ</t>
    <phoneticPr fontId="0" type="noConversion"/>
  </si>
  <si>
    <t xml:space="preserve">Ratio of Non-Interest Investments financed by SHEQ </t>
  </si>
  <si>
    <t>Total Assets / Total Share Holders Equity</t>
    <phoneticPr fontId="0" type="noConversion"/>
  </si>
  <si>
    <t>Financial Leverage</t>
  </si>
  <si>
    <t>II. Capital Adequacy Ratios</t>
  </si>
  <si>
    <t>Interest Rate Sensitive Assets / Interest Rate Sensitive Liabilities</t>
  </si>
  <si>
    <t>Interest Rate Sensitivity Gap Ratio :</t>
  </si>
  <si>
    <t>Interest Rate Sensitive Assets ( minus ) Interest Rate Sensitive Liabilities</t>
  </si>
  <si>
    <t>Interest Rate Sensitivity Gap</t>
  </si>
  <si>
    <t>(Non Interest Bearing Liabilities - Non Interest Earning Assets / Average Interest Earning Assets)</t>
    <phoneticPr fontId="0" type="noConversion"/>
  </si>
  <si>
    <t xml:space="preserve">Net Free Funds Ratio  </t>
  </si>
  <si>
    <t>Non Interest Expense  /( Interest Income - Interest Expense + Non Interest Income)</t>
    <phoneticPr fontId="0" type="noConversion"/>
  </si>
  <si>
    <t>Efficiency Ratios</t>
  </si>
  <si>
    <t>(Interest Income on Loans / Average Total Loans)</t>
  </si>
  <si>
    <t>Average Return on Loans</t>
  </si>
  <si>
    <t>Net Interest Income / Average Total Interest Earning Assets</t>
    <phoneticPr fontId="0" type="noConversion"/>
  </si>
  <si>
    <t xml:space="preserve">Interest Profitability of Interest Earning Assets </t>
    <phoneticPr fontId="0" type="noConversion"/>
  </si>
  <si>
    <t>(Operating Expense / Total Average Assets)</t>
  </si>
  <si>
    <t>Operating Expenses required to Manage Assets</t>
  </si>
  <si>
    <t>(Non-Interest Income / Total Income)</t>
  </si>
  <si>
    <t xml:space="preserve">Percantage of Non-Interest Income in Total Income </t>
  </si>
  <si>
    <t>Interest Expense / Interest Income</t>
    <phoneticPr fontId="0" type="noConversion"/>
  </si>
  <si>
    <t>Ratio of Interest Expense to Interest Income</t>
  </si>
  <si>
    <t>(Total Operating Expense / Total Operating Income)</t>
  </si>
  <si>
    <t>Ratio of Total Operating Expenses to Total Income</t>
  </si>
  <si>
    <t>Net Interest Income / Total Average Assets</t>
    <phoneticPr fontId="0" type="noConversion"/>
  </si>
  <si>
    <t>Ratio of Net Interest Income to Avarage Total Assets</t>
  </si>
  <si>
    <t>(Total Expenses - Non Interest Income) / Total Average Interest Earning Assets</t>
    <phoneticPr fontId="0" type="noConversion"/>
  </si>
  <si>
    <t>Break-Even Ratio</t>
  </si>
  <si>
    <t>Non Interest Income / Non Interest Expense</t>
    <phoneticPr fontId="0" type="noConversion"/>
  </si>
  <si>
    <t>Ratio of Non Interest Income to Non Interest Expense</t>
    <phoneticPr fontId="0" type="noConversion"/>
  </si>
  <si>
    <t>Total Interest Expense / Total Average Interest Bearing Liablities</t>
    <phoneticPr fontId="0" type="noConversion"/>
  </si>
  <si>
    <t xml:space="preserve">Avarage Cost of Funds </t>
  </si>
  <si>
    <t>Total Interest Income / Total Average Interest Earning Assets</t>
    <phoneticPr fontId="0" type="noConversion"/>
  </si>
  <si>
    <t xml:space="preserve">Avarage Return of Interest Earning Assets </t>
  </si>
  <si>
    <t>Total Income / Total Expense</t>
    <phoneticPr fontId="0" type="noConversion"/>
  </si>
  <si>
    <t>Income Expense Ratio</t>
  </si>
  <si>
    <t>Net Income / Total Average Share Holders Equity</t>
    <phoneticPr fontId="0" type="noConversion"/>
  </si>
  <si>
    <t xml:space="preserve">Return on Equity (ROE) </t>
  </si>
  <si>
    <t>Net Income / Total Average Assets</t>
    <phoneticPr fontId="0" type="noConversion"/>
  </si>
  <si>
    <t>Return on Asset (ROA)</t>
  </si>
  <si>
    <t>I. Earnings and Efficiency Profitability Ratios</t>
  </si>
  <si>
    <t xml:space="preserve">                       Bülent Şenver</t>
    <phoneticPr fontId="0" type="noConversion"/>
  </si>
  <si>
    <t xml:space="preserve">Formulated by: Bulent Senver </t>
    <phoneticPr fontId="0" type="noConversion"/>
  </si>
  <si>
    <t>Ratio analysis for Banks</t>
    <phoneticPr fontId="0" type="noConversion"/>
  </si>
  <si>
    <t>BANK RATIO ANALYSIS</t>
  </si>
  <si>
    <t>IBL2018:</t>
  </si>
  <si>
    <t>IEA2018:</t>
  </si>
  <si>
    <t>IEA2017:</t>
  </si>
  <si>
    <t>IBL2017:</t>
  </si>
  <si>
    <t>RSA:</t>
  </si>
  <si>
    <t>RSL:</t>
  </si>
  <si>
    <t>RSA (Based on time remaining to repricing date):</t>
  </si>
  <si>
    <t>Up to 1 month</t>
  </si>
  <si>
    <t>1-3 Months</t>
  </si>
  <si>
    <t>3-12 Months</t>
  </si>
  <si>
    <t>Banks</t>
  </si>
  <si>
    <t>Financial Assets at Fair Value through Profit/Loss</t>
  </si>
  <si>
    <t>Financial Assets at Fair Value Through Other Comprehensive Income</t>
  </si>
  <si>
    <t>Financial Assets Measured at Amortised Cost</t>
  </si>
  <si>
    <t>Other Assets</t>
  </si>
  <si>
    <t>Banks Deposits</t>
  </si>
  <si>
    <t>Other Deposits</t>
  </si>
  <si>
    <t>Money Market Funds</t>
  </si>
  <si>
    <t>Miscellaneous Payables</t>
  </si>
  <si>
    <t>Marketable Securities Issued</t>
  </si>
  <si>
    <t>Funds Provided from Other Financial Institutions</t>
  </si>
  <si>
    <t>Demand Deposits</t>
  </si>
  <si>
    <t>(Assets Due for a specific Period / Liabilities Due for the same Period) **I used ratio that due 1 month**</t>
  </si>
  <si>
    <t>N/A</t>
  </si>
  <si>
    <t>Ratio of SHEQ to Risk Weighted Assets and Contingent Liabilites and Commitments</t>
  </si>
  <si>
    <t>To conclude your Vertical &amp; Horisontal Analysisi, for each Balance Sheet &amp; Income Statement caption you should state whether the change between two years  % is "Favourable" or "Not Favourable".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</si>
</sst>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%"/>
    <numFmt numFmtId="166" formatCode="0.0"/>
    <numFmt numFmtId="167" formatCode="_-* #,##0_-;\-* #,##0_-;_-* &quot;-&quot;??_-;_-@_-"/>
  </numFmts>
  <fonts count="2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sz val="10"/>
      <name val="Arial"/>
    </font>
    <font>
      <sz val="10"/>
      <name val="Arial Tur"/>
    </font>
    <font>
      <sz val="8"/>
      <name val="Arial Tur"/>
    </font>
    <font>
      <b/>
      <sz val="12"/>
      <name val="Arial Tur"/>
    </font>
    <font>
      <b/>
      <sz val="10"/>
      <name val="Arial Tur"/>
    </font>
    <font>
      <b/>
      <sz val="14"/>
      <name val="Arial Tur"/>
    </font>
    <font>
      <b/>
      <sz val="16"/>
      <name val="Arial Tu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9"/>
      <name val="Arial"/>
      <family val="2"/>
      <charset val="162"/>
    </font>
    <font>
      <sz val="9"/>
      <name val="Arial Tur"/>
      <charset val="16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theme="2" tint="-0.249977111117893"/>
      </bottom>
      <diagonal/>
    </border>
    <border>
      <left style="thin">
        <color theme="2" tint="-0.249977111117893"/>
      </left>
      <right style="medium">
        <color theme="2" tint="-0.249977111117893"/>
      </right>
      <top style="thin">
        <color theme="2" tint="-0.249977111117893"/>
      </top>
      <bottom style="medium">
        <color theme="2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8" fillId="0" borderId="0"/>
  </cellStyleXfs>
  <cellXfs count="120">
    <xf numFmtId="0" fontId="0" fillId="0" borderId="0" xfId="0"/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2" borderId="2" xfId="0" applyFill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Font="1" applyBorder="1" applyAlignment="1">
      <alignment wrapText="1"/>
    </xf>
    <xf numFmtId="14" fontId="0" fillId="2" borderId="3" xfId="0" applyNumberFormat="1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0" fontId="0" fillId="0" borderId="5" xfId="0" applyBorder="1"/>
    <xf numFmtId="4" fontId="0" fillId="0" borderId="0" xfId="0" applyNumberFormat="1" applyAlignment="1">
      <alignment horizontal="center" vertical="center"/>
    </xf>
    <xf numFmtId="4" fontId="0" fillId="2" borderId="3" xfId="0" applyNumberFormat="1" applyFill="1" applyBorder="1" applyAlignment="1">
      <alignment horizontal="center" vertical="center"/>
    </xf>
    <xf numFmtId="4" fontId="0" fillId="2" borderId="4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6" xfId="1" applyFont="1" applyBorder="1" applyAlignment="1">
      <alignment horizontal="center" vertical="center"/>
    </xf>
    <xf numFmtId="9" fontId="0" fillId="0" borderId="8" xfId="1" applyFont="1" applyBorder="1" applyAlignment="1">
      <alignment horizontal="center" vertical="center"/>
    </xf>
    <xf numFmtId="165" fontId="0" fillId="0" borderId="8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5" fontId="0" fillId="0" borderId="9" xfId="1" applyNumberFormat="1" applyFont="1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7" fillId="0" borderId="0" xfId="4"/>
    <xf numFmtId="0" fontId="10" fillId="0" borderId="0" xfId="6" applyFont="1" applyProtection="1">
      <protection hidden="1"/>
    </xf>
    <xf numFmtId="0" fontId="8" fillId="0" borderId="0" xfId="6" applyProtection="1">
      <protection hidden="1"/>
    </xf>
    <xf numFmtId="0" fontId="9" fillId="0" borderId="0" xfId="6" applyFont="1" applyProtection="1">
      <protection hidden="1"/>
    </xf>
    <xf numFmtId="0" fontId="11" fillId="0" borderId="0" xfId="6" applyFont="1" applyProtection="1">
      <protection hidden="1"/>
    </xf>
    <xf numFmtId="165" fontId="8" fillId="0" borderId="0" xfId="5" applyNumberFormat="1" applyFont="1" applyBorder="1" applyAlignment="1" applyProtection="1">
      <alignment horizontal="center" vertical="center"/>
      <protection hidden="1"/>
    </xf>
    <xf numFmtId="0" fontId="8" fillId="0" borderId="0" xfId="6"/>
    <xf numFmtId="0" fontId="7" fillId="0" borderId="0" xfId="4" applyAlignment="1">
      <alignment horizontal="center" vertical="center"/>
    </xf>
    <xf numFmtId="0" fontId="8" fillId="0" borderId="16" xfId="6" applyBorder="1" applyProtection="1">
      <protection hidden="1"/>
    </xf>
    <xf numFmtId="0" fontId="9" fillId="0" borderId="16" xfId="6" applyFont="1" applyBorder="1" applyProtection="1">
      <protection hidden="1"/>
    </xf>
    <xf numFmtId="0" fontId="11" fillId="0" borderId="17" xfId="6" applyFont="1" applyBorder="1" applyProtection="1">
      <protection hidden="1"/>
    </xf>
    <xf numFmtId="0" fontId="8" fillId="0" borderId="0" xfId="6" applyAlignment="1" applyProtection="1">
      <alignment horizontal="center" vertical="center"/>
      <protection hidden="1"/>
    </xf>
    <xf numFmtId="0" fontId="12" fillId="0" borderId="0" xfId="6" applyFont="1" applyAlignment="1" applyProtection="1">
      <alignment horizontal="center"/>
      <protection hidden="1"/>
    </xf>
    <xf numFmtId="0" fontId="13" fillId="0" borderId="21" xfId="6" applyFont="1" applyBorder="1" applyAlignment="1" applyProtection="1">
      <alignment horizontal="centerContinuous" vertical="center"/>
      <protection hidden="1"/>
    </xf>
    <xf numFmtId="0" fontId="11" fillId="0" borderId="21" xfId="6" applyFont="1" applyBorder="1" applyAlignment="1" applyProtection="1">
      <alignment horizontal="centerContinuous" vertical="center"/>
      <protection hidden="1"/>
    </xf>
    <xf numFmtId="0" fontId="10" fillId="0" borderId="22" xfId="6" applyFont="1" applyBorder="1" applyAlignment="1" applyProtection="1">
      <alignment horizontal="centerContinuous" vertical="center"/>
      <protection hidden="1"/>
    </xf>
    <xf numFmtId="3" fontId="7" fillId="0" borderId="0" xfId="4" applyNumberFormat="1"/>
    <xf numFmtId="0" fontId="14" fillId="0" borderId="17" xfId="4" applyFont="1" applyBorder="1"/>
    <xf numFmtId="0" fontId="7" fillId="0" borderId="16" xfId="4" applyBorder="1"/>
    <xf numFmtId="0" fontId="7" fillId="0" borderId="15" xfId="4" applyBorder="1"/>
    <xf numFmtId="0" fontId="7" fillId="0" borderId="19" xfId="4" applyBorder="1"/>
    <xf numFmtId="3" fontId="7" fillId="0" borderId="0" xfId="4" applyNumberFormat="1" applyBorder="1"/>
    <xf numFmtId="0" fontId="7" fillId="0" borderId="11" xfId="4" applyBorder="1"/>
    <xf numFmtId="0" fontId="7" fillId="0" borderId="0" xfId="4" applyBorder="1"/>
    <xf numFmtId="0" fontId="7" fillId="0" borderId="13" xfId="4" applyBorder="1" applyAlignment="1">
      <alignment horizontal="center"/>
    </xf>
    <xf numFmtId="0" fontId="7" fillId="0" borderId="12" xfId="4" applyBorder="1" applyAlignment="1">
      <alignment horizontal="center"/>
    </xf>
    <xf numFmtId="0" fontId="7" fillId="0" borderId="18" xfId="4" applyBorder="1"/>
    <xf numFmtId="0" fontId="7" fillId="0" borderId="14" xfId="4" applyBorder="1"/>
    <xf numFmtId="0" fontId="13" fillId="0" borderId="0" xfId="6" applyFont="1" applyBorder="1" applyAlignment="1" applyProtection="1">
      <alignment horizontal="center" vertical="center"/>
      <protection hidden="1"/>
    </xf>
    <xf numFmtId="0" fontId="7" fillId="0" borderId="0" xfId="4" applyBorder="1" applyAlignment="1">
      <alignment horizontal="center" vertical="center"/>
    </xf>
    <xf numFmtId="9" fontId="8" fillId="0" borderId="0" xfId="6" applyNumberFormat="1" applyBorder="1" applyAlignment="1" applyProtection="1">
      <alignment horizontal="center" vertical="center"/>
      <protection hidden="1"/>
    </xf>
    <xf numFmtId="3" fontId="8" fillId="0" borderId="0" xfId="6" applyNumberFormat="1" applyBorder="1" applyAlignment="1" applyProtection="1">
      <alignment horizontal="center" vertical="center"/>
      <protection hidden="1"/>
    </xf>
    <xf numFmtId="166" fontId="8" fillId="0" borderId="0" xfId="6" applyNumberFormat="1" applyBorder="1" applyAlignment="1" applyProtection="1">
      <alignment horizontal="center" vertical="center"/>
      <protection hidden="1"/>
    </xf>
    <xf numFmtId="165" fontId="8" fillId="0" borderId="0" xfId="5" applyNumberFormat="1" applyFont="1" applyBorder="1" applyAlignment="1" applyProtection="1">
      <alignment horizontal="center" vertical="center" wrapText="1"/>
      <protection hidden="1"/>
    </xf>
    <xf numFmtId="0" fontId="7" fillId="0" borderId="0" xfId="4" applyBorder="1" applyAlignment="1">
      <alignment horizontal="center" vertical="center" wrapText="1"/>
    </xf>
    <xf numFmtId="9" fontId="7" fillId="0" borderId="0" xfId="4" applyNumberFormat="1" applyBorder="1"/>
    <xf numFmtId="0" fontId="8" fillId="0" borderId="0" xfId="6" applyBorder="1" applyAlignment="1" applyProtection="1">
      <alignment horizontal="center" vertical="center"/>
      <protection hidden="1"/>
    </xf>
    <xf numFmtId="9" fontId="8" fillId="0" borderId="0" xfId="6" applyNumberFormat="1" applyBorder="1" applyProtection="1">
      <protection hidden="1"/>
    </xf>
    <xf numFmtId="4" fontId="0" fillId="0" borderId="0" xfId="0" applyNumberFormat="1"/>
    <xf numFmtId="3" fontId="0" fillId="0" borderId="0" xfId="3" applyNumberFormat="1" applyFont="1" applyAlignment="1">
      <alignment horizontal="center"/>
    </xf>
    <xf numFmtId="0" fontId="11" fillId="0" borderId="20" xfId="6" applyFont="1" applyBorder="1" applyProtection="1">
      <protection hidden="1"/>
    </xf>
    <xf numFmtId="165" fontId="13" fillId="0" borderId="21" xfId="6" applyNumberFormat="1" applyFont="1" applyBorder="1" applyAlignment="1" applyProtection="1">
      <alignment horizontal="center" vertical="center"/>
      <protection hidden="1"/>
    </xf>
    <xf numFmtId="165" fontId="8" fillId="0" borderId="0" xfId="6" applyNumberFormat="1"/>
    <xf numFmtId="165" fontId="12" fillId="0" borderId="0" xfId="6" applyNumberFormat="1" applyFont="1" applyAlignment="1" applyProtection="1">
      <alignment horizontal="center"/>
      <protection hidden="1"/>
    </xf>
    <xf numFmtId="165" fontId="8" fillId="0" borderId="0" xfId="6" applyNumberFormat="1" applyProtection="1">
      <protection hidden="1"/>
    </xf>
    <xf numFmtId="165" fontId="8" fillId="0" borderId="0" xfId="6" applyNumberFormat="1" applyAlignment="1" applyProtection="1">
      <alignment horizontal="center" vertical="center"/>
      <protection hidden="1"/>
    </xf>
    <xf numFmtId="165" fontId="7" fillId="0" borderId="0" xfId="4" applyNumberFormat="1" applyAlignment="1">
      <alignment horizontal="center" vertical="center"/>
    </xf>
    <xf numFmtId="165" fontId="7" fillId="0" borderId="0" xfId="4" applyNumberFormat="1"/>
    <xf numFmtId="0" fontId="7" fillId="0" borderId="17" xfId="4" applyBorder="1" applyAlignment="1">
      <alignment horizontal="center" vertical="center"/>
    </xf>
    <xf numFmtId="167" fontId="7" fillId="0" borderId="15" xfId="3" applyNumberFormat="1" applyFont="1" applyBorder="1" applyAlignment="1">
      <alignment horizontal="center" vertical="center"/>
    </xf>
    <xf numFmtId="0" fontId="7" fillId="0" borderId="20" xfId="4" applyBorder="1" applyAlignment="1">
      <alignment horizontal="center" vertical="center"/>
    </xf>
    <xf numFmtId="167" fontId="7" fillId="0" borderId="19" xfId="3" applyNumberFormat="1" applyFont="1" applyBorder="1" applyAlignment="1">
      <alignment horizontal="center" vertical="center"/>
    </xf>
    <xf numFmtId="3" fontId="7" fillId="0" borderId="19" xfId="4" applyNumberFormat="1" applyBorder="1" applyAlignment="1">
      <alignment horizontal="center" vertical="center"/>
    </xf>
    <xf numFmtId="0" fontId="7" fillId="0" borderId="13" xfId="4" applyBorder="1" applyAlignment="1">
      <alignment horizontal="center" vertical="center"/>
    </xf>
    <xf numFmtId="3" fontId="7" fillId="0" borderId="11" xfId="4" applyNumberFormat="1" applyBorder="1" applyAlignment="1">
      <alignment horizontal="center" vertical="center"/>
    </xf>
    <xf numFmtId="3" fontId="15" fillId="0" borderId="20" xfId="4" applyNumberFormat="1" applyFont="1" applyBorder="1"/>
    <xf numFmtId="3" fontId="15" fillId="0" borderId="0" xfId="4" applyNumberFormat="1" applyFont="1" applyBorder="1"/>
    <xf numFmtId="0" fontId="15" fillId="0" borderId="12" xfId="4" applyFont="1" applyBorder="1"/>
    <xf numFmtId="0" fontId="15" fillId="0" borderId="0" xfId="4" applyFont="1" applyBorder="1"/>
    <xf numFmtId="3" fontId="15" fillId="0" borderId="12" xfId="4" applyNumberFormat="1" applyFont="1" applyBorder="1"/>
    <xf numFmtId="0" fontId="16" fillId="0" borderId="14" xfId="0" applyFont="1" applyBorder="1"/>
    <xf numFmtId="3" fontId="16" fillId="0" borderId="20" xfId="0" applyNumberFormat="1" applyFont="1" applyBorder="1"/>
    <xf numFmtId="0" fontId="16" fillId="0" borderId="18" xfId="0" applyFont="1" applyBorder="1"/>
    <xf numFmtId="0" fontId="16" fillId="0" borderId="18" xfId="0" applyFont="1" applyBorder="1" applyAlignment="1">
      <alignment wrapText="1"/>
    </xf>
    <xf numFmtId="0" fontId="16" fillId="0" borderId="10" xfId="0" applyFont="1" applyBorder="1"/>
    <xf numFmtId="3" fontId="16" fillId="0" borderId="13" xfId="0" applyNumberFormat="1" applyFont="1" applyBorder="1"/>
    <xf numFmtId="0" fontId="14" fillId="0" borderId="0" xfId="4" applyFont="1" applyBorder="1"/>
    <xf numFmtId="0" fontId="16" fillId="0" borderId="0" xfId="0" applyFont="1" applyBorder="1"/>
    <xf numFmtId="3" fontId="14" fillId="0" borderId="0" xfId="4" applyNumberFormat="1" applyFont="1" applyBorder="1"/>
    <xf numFmtId="0" fontId="9" fillId="0" borderId="13" xfId="6" applyFont="1" applyBorder="1" applyProtection="1">
      <protection hidden="1"/>
    </xf>
    <xf numFmtId="0" fontId="7" fillId="0" borderId="12" xfId="4" applyBorder="1"/>
    <xf numFmtId="0" fontId="7" fillId="0" borderId="11" xfId="4" applyBorder="1"/>
    <xf numFmtId="0" fontId="11" fillId="0" borderId="17" xfId="6" applyFont="1" applyBorder="1" applyProtection="1">
      <protection hidden="1"/>
    </xf>
    <xf numFmtId="0" fontId="7" fillId="0" borderId="16" xfId="4" applyBorder="1"/>
    <xf numFmtId="0" fontId="7" fillId="0" borderId="15" xfId="4" applyBorder="1"/>
    <xf numFmtId="165" fontId="8" fillId="0" borderId="14" xfId="5" applyNumberFormat="1" applyFont="1" applyBorder="1" applyAlignment="1" applyProtection="1">
      <alignment horizontal="center" vertical="center"/>
      <protection hidden="1"/>
    </xf>
    <xf numFmtId="165" fontId="8" fillId="0" borderId="10" xfId="5" applyNumberFormat="1" applyFont="1" applyBorder="1" applyAlignment="1" applyProtection="1">
      <alignment horizontal="center" vertical="center"/>
      <protection hidden="1"/>
    </xf>
    <xf numFmtId="165" fontId="7" fillId="0" borderId="10" xfId="4" applyNumberFormat="1" applyBorder="1" applyAlignment="1">
      <alignment horizontal="center" vertical="center"/>
    </xf>
    <xf numFmtId="165" fontId="18" fillId="0" borderId="14" xfId="5" applyNumberFormat="1" applyFont="1" applyBorder="1" applyAlignment="1" applyProtection="1">
      <alignment horizontal="center" vertical="center" wrapText="1"/>
      <protection hidden="1"/>
    </xf>
    <xf numFmtId="165" fontId="17" fillId="0" borderId="10" xfId="4" applyNumberFormat="1" applyFont="1" applyBorder="1" applyAlignment="1">
      <alignment horizontal="center" vertical="center" wrapText="1"/>
    </xf>
    <xf numFmtId="165" fontId="8" fillId="0" borderId="14" xfId="6" applyNumberFormat="1" applyBorder="1" applyAlignment="1" applyProtection="1">
      <alignment horizontal="center" vertical="center"/>
      <protection hidden="1"/>
    </xf>
    <xf numFmtId="165" fontId="17" fillId="0" borderId="14" xfId="4" applyNumberFormat="1" applyFont="1" applyBorder="1" applyAlignment="1">
      <alignment horizontal="center" vertical="center" wrapText="1"/>
    </xf>
    <xf numFmtId="165" fontId="7" fillId="0" borderId="10" xfId="4" applyNumberFormat="1" applyBorder="1" applyAlignment="1">
      <alignment horizontal="center" vertical="center" wrapText="1"/>
    </xf>
    <xf numFmtId="165" fontId="8" fillId="0" borderId="10" xfId="6" applyNumberFormat="1" applyBorder="1" applyAlignment="1" applyProtection="1">
      <alignment horizontal="center" vertical="center"/>
      <protection hidden="1"/>
    </xf>
    <xf numFmtId="165" fontId="8" fillId="0" borderId="18" xfId="5" applyNumberFormat="1" applyFont="1" applyBorder="1" applyAlignment="1" applyProtection="1">
      <alignment horizontal="center" vertical="center"/>
      <protection hidden="1"/>
    </xf>
    <xf numFmtId="165" fontId="8" fillId="0" borderId="0" xfId="6" applyNumberFormat="1" applyAlignment="1" applyProtection="1">
      <alignment horizontal="center" vertical="center"/>
      <protection hidden="1"/>
    </xf>
    <xf numFmtId="165" fontId="8" fillId="0" borderId="12" xfId="6" applyNumberFormat="1" applyBorder="1" applyAlignment="1" applyProtection="1">
      <alignment horizontal="center" vertical="center"/>
      <protection hidden="1"/>
    </xf>
    <xf numFmtId="0" fontId="8" fillId="0" borderId="0" xfId="6"/>
    <xf numFmtId="165" fontId="8" fillId="0" borderId="14" xfId="5" applyNumberFormat="1" applyFont="1" applyBorder="1" applyAlignment="1" applyProtection="1">
      <alignment horizontal="center" vertical="center" wrapText="1"/>
      <protection hidden="1"/>
    </xf>
    <xf numFmtId="3" fontId="7" fillId="0" borderId="14" xfId="4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0" xfId="0" applyFont="1" applyAlignment="1">
      <alignment wrapText="1"/>
    </xf>
  </cellXfs>
  <cellStyles count="7">
    <cellStyle name="Comma" xfId="3" builtinId="3"/>
    <cellStyle name="Normal" xfId="0" builtinId="0"/>
    <cellStyle name="Normal 2" xfId="4" xr:uid="{E59B777D-C62C-4638-A21E-1A6694F8A488}"/>
    <cellStyle name="Normal 2 2" xfId="2" xr:uid="{C4BAAD39-AC44-495E-8B06-C11B47823A59}"/>
    <cellStyle name="Normal_Sheet1" xfId="6" xr:uid="{E008B00F-53D6-4B69-A54A-1A7D446624FB}"/>
    <cellStyle name="Percent" xfId="1" builtinId="5"/>
    <cellStyle name="Percent 2" xfId="5" xr:uid="{AB1A0890-42E9-4120-8DEC-D578AFFBB5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121920</xdr:colOff>
      <xdr:row>18</xdr:row>
      <xdr:rowOff>144780</xdr:rowOff>
    </xdr:from>
    <xdr:ext cx="5760719" cy="88832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0CAC42-07A7-42DB-8CB8-5C91D81F6DA8}"/>
            </a:ext>
          </a:extLst>
        </xdr:cNvPr>
        <xdr:cNvSpPr txBox="1"/>
      </xdr:nvSpPr>
      <xdr:spPr>
        <a:xfrm>
          <a:off x="7863840" y="4259580"/>
          <a:ext cx="5760719" cy="88832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r-TR" sz="900" b="1" u="sng">
              <a:latin typeface="Arial" panose="020B0604020202020204" pitchFamily="34" charset="0"/>
              <a:cs typeface="Arial" panose="020B0604020202020204" pitchFamily="34" charset="0"/>
            </a:rPr>
            <a:t>NOTE</a:t>
          </a:r>
          <a:r>
            <a:rPr lang="tr-TR" sz="900">
              <a:latin typeface="Arial" panose="020B0604020202020204" pitchFamily="34" charset="0"/>
              <a:cs typeface="Arial" panose="020B0604020202020204" pitchFamily="34" charset="0"/>
            </a:rPr>
            <a:t>: To</a:t>
          </a:r>
          <a:r>
            <a:rPr lang="tr-TR" sz="900" baseline="0">
              <a:latin typeface="Arial" panose="020B0604020202020204" pitchFamily="34" charset="0"/>
              <a:cs typeface="Arial" panose="020B0604020202020204" pitchFamily="34" charset="0"/>
            </a:rPr>
            <a:t> check the numbers I used for calculation in some cells, you can copy the number that I used in the cell and search it on annual report by putting comma for each thousand. You will see from where exactly I took the number.</a:t>
          </a:r>
        </a:p>
        <a:p>
          <a:endParaRPr lang="tr-TR" sz="9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tr-TR" sz="900" baseline="0">
              <a:latin typeface="Arial" panose="020B0604020202020204" pitchFamily="34" charset="0"/>
              <a:cs typeface="Arial" panose="020B0604020202020204" pitchFamily="34" charset="0"/>
            </a:rPr>
            <a:t>Annual report of İş Bank: 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  <a:hlinkClick xmlns:r="http://schemas.openxmlformats.org/officeDocument/2006/relationships" r:id=""/>
            </a:rPr>
            <a:t>https://www.isbank.com.tr/contentmanagement/IsbankAnnualReports/pdf/ISBANK18ENG.pdf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881DE-B9CD-4847-9DE5-27A9EB525256}">
  <sheetPr>
    <pageSetUpPr fitToPage="1"/>
  </sheetPr>
  <dimension ref="B1:K40"/>
  <sheetViews>
    <sheetView tabSelected="1" zoomScale="274" zoomScaleNormal="70" workbookViewId="0">
      <selection activeCell="B40" sqref="B40"/>
    </sheetView>
  </sheetViews>
  <sheetFormatPr baseColWidth="10" defaultColWidth="8.83203125" defaultRowHeight="15"/>
  <cols>
    <col min="1" max="1" width="1.83203125" customWidth="1"/>
    <col min="2" max="2" width="35.33203125" style="1" bestFit="1" customWidth="1"/>
    <col min="3" max="4" width="16.1640625" style="9" bestFit="1" customWidth="1"/>
    <col min="5" max="5" width="13.1640625" customWidth="1"/>
    <col min="6" max="6" width="2.1640625" customWidth="1"/>
    <col min="7" max="7" width="35.33203125" style="1" bestFit="1" customWidth="1"/>
    <col min="8" max="8" width="11.33203125" customWidth="1"/>
    <col min="9" max="9" width="10.83203125" customWidth="1"/>
    <col min="10" max="10" width="8.83203125" customWidth="1"/>
    <col min="11" max="11" width="14.83203125" bestFit="1" customWidth="1"/>
    <col min="12" max="12" width="18" customWidth="1"/>
    <col min="13" max="13" width="22.5" customWidth="1"/>
  </cols>
  <sheetData>
    <row r="1" spans="2:11" ht="23.5" customHeight="1" thickBot="1">
      <c r="B1" s="20" t="s">
        <v>84</v>
      </c>
      <c r="C1" s="21"/>
      <c r="D1" s="21"/>
      <c r="E1" s="22"/>
      <c r="F1" s="22"/>
      <c r="G1" s="20" t="s">
        <v>32</v>
      </c>
    </row>
    <row r="2" spans="2:11" ht="16">
      <c r="B2" s="3" t="s">
        <v>0</v>
      </c>
      <c r="C2" s="10" t="s">
        <v>15</v>
      </c>
      <c r="D2" s="10" t="s">
        <v>16</v>
      </c>
      <c r="E2" s="11" t="s">
        <v>85</v>
      </c>
      <c r="G2" s="3" t="s">
        <v>0</v>
      </c>
      <c r="H2" s="6" t="s">
        <v>15</v>
      </c>
      <c r="I2" s="7" t="s">
        <v>16</v>
      </c>
    </row>
    <row r="3" spans="2:11" ht="16">
      <c r="B3" s="2" t="s">
        <v>1</v>
      </c>
      <c r="C3" s="12" t="s">
        <v>33</v>
      </c>
      <c r="D3" s="12" t="s">
        <v>34</v>
      </c>
      <c r="E3" s="19">
        <f>D3/C3-1</f>
        <v>0.45354255556381484</v>
      </c>
      <c r="G3" s="2" t="s">
        <v>1</v>
      </c>
      <c r="H3" s="18">
        <f t="shared" ref="H3:H11" si="0">C3/C$11</f>
        <v>9.284499773250611E-3</v>
      </c>
      <c r="I3" s="19">
        <f t="shared" ref="I3:I11" si="1">D3/D$11</f>
        <v>1.1740568050147815E-2</v>
      </c>
    </row>
    <row r="4" spans="2:11" ht="32">
      <c r="B4" s="2" t="s">
        <v>2</v>
      </c>
      <c r="C4" s="12" t="s">
        <v>35</v>
      </c>
      <c r="D4" s="12" t="s">
        <v>36</v>
      </c>
      <c r="E4" s="19">
        <f t="shared" ref="E4:E7" si="2">D4/C4-1</f>
        <v>0.24443436533650398</v>
      </c>
      <c r="G4" s="2" t="s">
        <v>2</v>
      </c>
      <c r="H4" s="18">
        <f t="shared" si="0"/>
        <v>9.6786881768845826E-2</v>
      </c>
      <c r="I4" s="19">
        <f t="shared" si="1"/>
        <v>0.10478312413930554</v>
      </c>
    </row>
    <row r="5" spans="2:11" ht="16">
      <c r="B5" s="2" t="s">
        <v>3</v>
      </c>
      <c r="C5" s="12" t="s">
        <v>37</v>
      </c>
      <c r="D5" s="12" t="s">
        <v>38</v>
      </c>
      <c r="E5" s="19">
        <f t="shared" si="2"/>
        <v>0.18800045187973402</v>
      </c>
      <c r="G5" s="2" t="s">
        <v>3</v>
      </c>
      <c r="H5" s="18">
        <f t="shared" si="0"/>
        <v>0.15832316597905974</v>
      </c>
      <c r="I5" s="19">
        <f t="shared" si="1"/>
        <v>0.16363037310784112</v>
      </c>
    </row>
    <row r="6" spans="2:11" ht="16">
      <c r="B6" s="2" t="s">
        <v>4</v>
      </c>
      <c r="C6" s="12" t="s">
        <v>39</v>
      </c>
      <c r="D6" s="12" t="s">
        <v>40</v>
      </c>
      <c r="E6" s="19">
        <f t="shared" si="2"/>
        <v>8.7329690623938916E-2</v>
      </c>
      <c r="G6" s="2" t="s">
        <v>4</v>
      </c>
      <c r="H6" s="18">
        <f t="shared" si="0"/>
        <v>0.66090564272406205</v>
      </c>
      <c r="I6" s="19">
        <f t="shared" si="1"/>
        <v>0.62517781148931606</v>
      </c>
    </row>
    <row r="7" spans="2:11" ht="16">
      <c r="B7" s="2" t="s">
        <v>86</v>
      </c>
      <c r="C7" s="25">
        <v>5403534</v>
      </c>
      <c r="D7" s="25">
        <v>11191689</v>
      </c>
      <c r="E7" s="19">
        <f t="shared" si="2"/>
        <v>1.0711795280644112</v>
      </c>
      <c r="G7" s="2" t="s">
        <v>86</v>
      </c>
      <c r="H7" s="18">
        <f t="shared" si="0"/>
        <v>1.4916854292054402E-2</v>
      </c>
      <c r="I7" s="19">
        <f>D7/D$11</f>
        <v>2.6878055188213529E-2</v>
      </c>
    </row>
    <row r="8" spans="2:11" ht="16">
      <c r="B8" s="2" t="s">
        <v>5</v>
      </c>
      <c r="C8" s="12" t="s">
        <v>41</v>
      </c>
      <c r="D8" s="12" t="s">
        <v>42</v>
      </c>
      <c r="E8" s="19">
        <f>D8/C8-1</f>
        <v>0.27796040107394138</v>
      </c>
      <c r="G8" s="2" t="s">
        <v>5</v>
      </c>
      <c r="H8" s="18">
        <f t="shared" si="0"/>
        <v>3.8102110162446988E-2</v>
      </c>
      <c r="I8" s="19">
        <f t="shared" si="1"/>
        <v>4.2361299497282824E-2</v>
      </c>
    </row>
    <row r="9" spans="2:11" ht="16">
      <c r="B9" s="2" t="s">
        <v>6</v>
      </c>
      <c r="C9" s="12" t="s">
        <v>43</v>
      </c>
      <c r="D9" s="12" t="s">
        <v>44</v>
      </c>
      <c r="E9" s="19">
        <f>D9/C9-1</f>
        <v>0.1616246277767952</v>
      </c>
      <c r="G9" s="2" t="s">
        <v>6</v>
      </c>
      <c r="H9" s="18">
        <f t="shared" si="0"/>
        <v>1.4251630546017229E-2</v>
      </c>
      <c r="I9" s="19">
        <f t="shared" si="1"/>
        <v>1.4402345176442861E-2</v>
      </c>
    </row>
    <row r="10" spans="2:11" ht="16">
      <c r="B10" s="2" t="s">
        <v>7</v>
      </c>
      <c r="C10" s="12" t="s">
        <v>45</v>
      </c>
      <c r="D10" s="12" t="s">
        <v>46</v>
      </c>
      <c r="E10" s="19">
        <f>D10/C10-1</f>
        <v>0.94978417410165816</v>
      </c>
      <c r="G10" s="2" t="s">
        <v>7</v>
      </c>
      <c r="H10" s="18">
        <f t="shared" si="0"/>
        <v>2.2346069046317522E-2</v>
      </c>
      <c r="I10" s="19">
        <f t="shared" si="1"/>
        <v>3.7904478539663729E-2</v>
      </c>
    </row>
    <row r="11" spans="2:11" ht="17" thickBot="1">
      <c r="B11" s="4" t="s">
        <v>8</v>
      </c>
      <c r="C11" s="13" t="s">
        <v>47</v>
      </c>
      <c r="D11" s="27">
        <v>416387604</v>
      </c>
      <c r="E11" s="23">
        <f>D11/C11-1</f>
        <v>0.14946870286846492</v>
      </c>
      <c r="G11" s="4" t="s">
        <v>8</v>
      </c>
      <c r="H11" s="16">
        <f t="shared" si="0"/>
        <v>1</v>
      </c>
      <c r="I11" s="24">
        <f t="shared" si="1"/>
        <v>1</v>
      </c>
    </row>
    <row r="12" spans="2:11" ht="16.75" customHeight="1">
      <c r="B12" s="3" t="s">
        <v>82</v>
      </c>
      <c r="C12" s="10" t="s">
        <v>15</v>
      </c>
      <c r="D12" s="10" t="s">
        <v>16</v>
      </c>
      <c r="E12" s="11" t="s">
        <v>85</v>
      </c>
      <c r="G12" s="3" t="s">
        <v>9</v>
      </c>
      <c r="H12" s="6" t="s">
        <v>15</v>
      </c>
      <c r="I12" s="7" t="s">
        <v>16</v>
      </c>
    </row>
    <row r="13" spans="2:11" ht="16">
      <c r="B13" s="2" t="s">
        <v>215</v>
      </c>
      <c r="C13" s="67">
        <v>53501377</v>
      </c>
      <c r="D13" s="67">
        <v>59961577</v>
      </c>
      <c r="E13" s="19">
        <f>D13/C13-1</f>
        <v>0.12074829401119902</v>
      </c>
      <c r="G13" s="2" t="s">
        <v>215</v>
      </c>
      <c r="H13" s="18">
        <f t="shared" ref="H13:I15" si="3">C13/C$11</f>
        <v>0.14769449866203685</v>
      </c>
      <c r="I13" s="19">
        <f t="shared" si="3"/>
        <v>0.14400423169177726</v>
      </c>
      <c r="K13" s="66"/>
    </row>
    <row r="14" spans="2:11" ht="16">
      <c r="B14" s="2" t="s">
        <v>10</v>
      </c>
      <c r="C14" s="67">
        <v>150250655</v>
      </c>
      <c r="D14" s="67">
        <v>185307269</v>
      </c>
      <c r="E14" s="19">
        <f>D14/C14-1</f>
        <v>0.23332087304378146</v>
      </c>
      <c r="G14" s="2" t="s">
        <v>10</v>
      </c>
      <c r="H14" s="18">
        <f t="shared" si="3"/>
        <v>0.41477801896328126</v>
      </c>
      <c r="I14" s="19">
        <f t="shared" si="3"/>
        <v>0.44503550830970462</v>
      </c>
      <c r="K14" s="66"/>
    </row>
    <row r="15" spans="2:11" ht="32">
      <c r="B15" s="2" t="s">
        <v>11</v>
      </c>
      <c r="C15" s="12" t="s">
        <v>49</v>
      </c>
      <c r="D15" s="12" t="s">
        <v>50</v>
      </c>
      <c r="E15" s="19">
        <f t="shared" ref="E15:E18" si="4">D15/C15-1</f>
        <v>2.1751521354348657E-2</v>
      </c>
      <c r="G15" s="2" t="s">
        <v>11</v>
      </c>
      <c r="H15" s="18">
        <f t="shared" si="3"/>
        <v>0.25523507965565256</v>
      </c>
      <c r="I15" s="18">
        <f t="shared" si="3"/>
        <v>0.22687597347398458</v>
      </c>
    </row>
    <row r="16" spans="2:11" ht="16">
      <c r="B16" s="2" t="s">
        <v>87</v>
      </c>
      <c r="C16" s="26">
        <v>19833561</v>
      </c>
      <c r="D16" s="26">
        <v>9071893</v>
      </c>
      <c r="E16" s="19">
        <f t="shared" si="4"/>
        <v>-0.54259888075570495</v>
      </c>
      <c r="G16" s="2" t="s">
        <v>87</v>
      </c>
      <c r="H16" s="18">
        <f t="shared" ref="H16:I18" si="5">C16/C$11</f>
        <v>5.4752008505835767E-2</v>
      </c>
      <c r="I16" s="18">
        <f t="shared" si="5"/>
        <v>2.1787135142476526E-2</v>
      </c>
    </row>
    <row r="17" spans="2:9" ht="16">
      <c r="B17" s="2" t="s">
        <v>88</v>
      </c>
      <c r="C17" s="26">
        <v>25911279</v>
      </c>
      <c r="D17" s="26">
        <v>29445081</v>
      </c>
      <c r="E17" s="19">
        <f t="shared" si="4"/>
        <v>0.1363808401738873</v>
      </c>
      <c r="G17" s="2" t="s">
        <v>88</v>
      </c>
      <c r="H17" s="18">
        <f t="shared" si="5"/>
        <v>7.1529997472722304E-2</v>
      </c>
      <c r="I17" s="18">
        <f t="shared" si="5"/>
        <v>7.0715556172032443E-2</v>
      </c>
    </row>
    <row r="18" spans="2:9" ht="16">
      <c r="B18" s="2" t="s">
        <v>89</v>
      </c>
      <c r="C18" s="26">
        <v>1293028</v>
      </c>
      <c r="D18" s="26">
        <v>3705490</v>
      </c>
      <c r="E18" s="19">
        <f t="shared" si="4"/>
        <v>1.865746140068119</v>
      </c>
      <c r="G18" s="2" t="s">
        <v>89</v>
      </c>
      <c r="H18" s="18">
        <f t="shared" si="5"/>
        <v>3.5694991965529443E-3</v>
      </c>
      <c r="I18" s="18">
        <f t="shared" si="5"/>
        <v>8.899136200029625E-3</v>
      </c>
    </row>
    <row r="19" spans="2:9" ht="16">
      <c r="B19" s="2" t="s">
        <v>12</v>
      </c>
      <c r="C19" s="26">
        <v>8808734</v>
      </c>
      <c r="D19" s="12">
        <v>6256462</v>
      </c>
      <c r="E19" s="19">
        <f>D19/C19-1</f>
        <v>-0.28974333882712322</v>
      </c>
      <c r="G19" s="2" t="s">
        <v>12</v>
      </c>
      <c r="H19" s="18">
        <f t="shared" ref="H19:I22" si="6">C19/C$11</f>
        <v>2.4317160135471624E-2</v>
      </c>
      <c r="I19" s="19">
        <f t="shared" si="6"/>
        <v>1.502557218297978E-2</v>
      </c>
    </row>
    <row r="20" spans="2:9" ht="16">
      <c r="B20" s="2" t="s">
        <v>13</v>
      </c>
      <c r="C20" s="12" t="s">
        <v>51</v>
      </c>
      <c r="D20" s="12" t="s">
        <v>52</v>
      </c>
      <c r="E20" s="19">
        <f>D20/C20-1</f>
        <v>0.45165200818495976</v>
      </c>
      <c r="G20" s="2" t="s">
        <v>13</v>
      </c>
      <c r="H20" s="18">
        <f t="shared" si="6"/>
        <v>3.9314002052867565E-2</v>
      </c>
      <c r="I20" s="19">
        <f t="shared" si="6"/>
        <v>4.9649242199823029E-2</v>
      </c>
    </row>
    <row r="21" spans="2:9" ht="16">
      <c r="B21" s="2" t="s">
        <v>14</v>
      </c>
      <c r="C21" s="12" t="s">
        <v>53</v>
      </c>
      <c r="D21" s="12" t="s">
        <v>54</v>
      </c>
      <c r="E21" s="19">
        <f>D21/C21-1</f>
        <v>0.15671680524411413</v>
      </c>
      <c r="G21" s="2" t="s">
        <v>14</v>
      </c>
      <c r="H21" s="18">
        <f>C21/C$11</f>
        <v>0.11866124053069016</v>
      </c>
      <c r="I21" s="19">
        <f t="shared" si="6"/>
        <v>0.11940947214173071</v>
      </c>
    </row>
    <row r="22" spans="2:9" ht="17" thickBot="1">
      <c r="B22" s="4" t="s">
        <v>83</v>
      </c>
      <c r="C22" s="13" t="s">
        <v>47</v>
      </c>
      <c r="D22" s="13" t="s">
        <v>48</v>
      </c>
      <c r="E22" s="23">
        <f>D22/C22-1</f>
        <v>0.14946870286846492</v>
      </c>
      <c r="G22" s="4" t="s">
        <v>83</v>
      </c>
      <c r="H22" s="16">
        <f t="shared" si="6"/>
        <v>1</v>
      </c>
      <c r="I22" s="24">
        <f t="shared" si="6"/>
        <v>1</v>
      </c>
    </row>
    <row r="23" spans="2:9" ht="16">
      <c r="B23" s="3" t="s">
        <v>17</v>
      </c>
      <c r="C23" s="10" t="s">
        <v>15</v>
      </c>
      <c r="D23" s="10" t="s">
        <v>16</v>
      </c>
      <c r="E23" s="11" t="s">
        <v>85</v>
      </c>
      <c r="G23" s="3" t="s">
        <v>17</v>
      </c>
      <c r="H23" s="6" t="s">
        <v>15</v>
      </c>
      <c r="I23" s="7" t="s">
        <v>16</v>
      </c>
    </row>
    <row r="24" spans="2:9" ht="16">
      <c r="B24" s="2" t="s">
        <v>90</v>
      </c>
      <c r="C24" s="12" t="s">
        <v>55</v>
      </c>
      <c r="D24" s="12" t="s">
        <v>56</v>
      </c>
      <c r="E24" s="19">
        <f>D24/C24-1</f>
        <v>0.40443782087916436</v>
      </c>
      <c r="G24" s="2" t="s">
        <v>90</v>
      </c>
      <c r="H24" s="14">
        <f t="shared" ref="H24:H38" si="7">C24/C$24</f>
        <v>1</v>
      </c>
      <c r="I24" s="15">
        <f t="shared" ref="I24:I38" si="8">D24/D$24</f>
        <v>1</v>
      </c>
    </row>
    <row r="25" spans="2:9" ht="16">
      <c r="B25" s="2" t="s">
        <v>18</v>
      </c>
      <c r="C25" s="12" t="s">
        <v>57</v>
      </c>
      <c r="D25" s="12" t="s">
        <v>58</v>
      </c>
      <c r="E25" s="19">
        <f t="shared" ref="E25:E38" si="9">D25/C25-1</f>
        <v>0.5080577269536164</v>
      </c>
      <c r="G25" s="2" t="s">
        <v>18</v>
      </c>
      <c r="H25" s="18">
        <f t="shared" si="7"/>
        <v>0.52242148161312785</v>
      </c>
      <c r="I25" s="19">
        <f t="shared" si="8"/>
        <v>0.56096591843421928</v>
      </c>
    </row>
    <row r="26" spans="2:9" ht="16">
      <c r="B26" s="2" t="s">
        <v>19</v>
      </c>
      <c r="C26" s="12" t="s">
        <v>59</v>
      </c>
      <c r="D26" s="12" t="s">
        <v>60</v>
      </c>
      <c r="E26" s="19">
        <f t="shared" si="9"/>
        <v>0.29108836571758068</v>
      </c>
      <c r="G26" s="2" t="s">
        <v>19</v>
      </c>
      <c r="H26" s="18">
        <f t="shared" si="7"/>
        <v>0.47757851838687215</v>
      </c>
      <c r="I26" s="19">
        <f t="shared" si="8"/>
        <v>0.43903408156578072</v>
      </c>
    </row>
    <row r="27" spans="2:9" ht="16">
      <c r="B27" s="2" t="s">
        <v>20</v>
      </c>
      <c r="C27" s="12" t="s">
        <v>61</v>
      </c>
      <c r="D27" s="12" t="s">
        <v>62</v>
      </c>
      <c r="E27" s="19">
        <f>-D27/C27+1</f>
        <v>-1.1675706063103291</v>
      </c>
      <c r="G27" s="2" t="s">
        <v>20</v>
      </c>
      <c r="H27" s="18">
        <f t="shared" si="7"/>
        <v>-6.792306692366229E-2</v>
      </c>
      <c r="I27" s="19">
        <f t="shared" si="8"/>
        <v>-0.10483058855679094</v>
      </c>
    </row>
    <row r="28" spans="2:9" ht="16">
      <c r="B28" s="2" t="s">
        <v>21</v>
      </c>
      <c r="C28" s="12" t="s">
        <v>63</v>
      </c>
      <c r="D28" s="12" t="s">
        <v>64</v>
      </c>
      <c r="E28" s="19">
        <f t="shared" si="9"/>
        <v>0.30574188987510809</v>
      </c>
      <c r="G28" s="2" t="s">
        <v>21</v>
      </c>
      <c r="H28" s="18">
        <f t="shared" si="7"/>
        <v>0.12199089763994204</v>
      </c>
      <c r="I28" s="19">
        <f t="shared" si="8"/>
        <v>0.11341806868475364</v>
      </c>
    </row>
    <row r="29" spans="2:9" ht="16">
      <c r="B29" s="2" t="s">
        <v>22</v>
      </c>
      <c r="C29" s="26">
        <v>11072</v>
      </c>
      <c r="D29" s="26">
        <v>6425</v>
      </c>
      <c r="E29" s="19">
        <f t="shared" si="9"/>
        <v>-0.41970736994219648</v>
      </c>
      <c r="G29" s="2" t="s">
        <v>22</v>
      </c>
      <c r="H29" s="18">
        <f t="shared" si="7"/>
        <v>4.00354866569772E-4</v>
      </c>
      <c r="I29" s="19">
        <f t="shared" si="8"/>
        <v>1.6542062241871417E-4</v>
      </c>
    </row>
    <row r="30" spans="2:9" ht="16">
      <c r="B30" s="2" t="s">
        <v>23</v>
      </c>
      <c r="C30" s="12" t="s">
        <v>65</v>
      </c>
      <c r="D30" s="12" t="s">
        <v>66</v>
      </c>
      <c r="E30" s="19">
        <f t="shared" si="9"/>
        <v>0.66773819667255929</v>
      </c>
      <c r="G30" s="2" t="s">
        <v>23</v>
      </c>
      <c r="H30" s="18">
        <f t="shared" si="7"/>
        <v>4.1461859346787332E-2</v>
      </c>
      <c r="I30" s="19">
        <f t="shared" si="8"/>
        <v>4.9235021664694796E-2</v>
      </c>
    </row>
    <row r="31" spans="2:9" ht="16">
      <c r="B31" s="2" t="s">
        <v>24</v>
      </c>
      <c r="C31" s="12" t="s">
        <v>67</v>
      </c>
      <c r="D31" s="12" t="s">
        <v>68</v>
      </c>
      <c r="E31" s="19">
        <f t="shared" si="9"/>
        <v>0.21713352659153995</v>
      </c>
      <c r="G31" s="2" t="s">
        <v>24</v>
      </c>
      <c r="H31" s="18">
        <f t="shared" si="7"/>
        <v>0.57350856331650901</v>
      </c>
      <c r="I31" s="19">
        <f t="shared" si="8"/>
        <v>0.49702200398085694</v>
      </c>
    </row>
    <row r="32" spans="2:9" ht="16">
      <c r="B32" s="2" t="s">
        <v>25</v>
      </c>
      <c r="C32" s="12" t="s">
        <v>69</v>
      </c>
      <c r="D32" s="12" t="s">
        <v>70</v>
      </c>
      <c r="E32" s="19">
        <f t="shared" si="9"/>
        <v>8.7067677854973269E-2</v>
      </c>
      <c r="G32" s="2" t="s">
        <v>25</v>
      </c>
      <c r="H32" s="18">
        <f t="shared" si="7"/>
        <v>0.26742587767010967</v>
      </c>
      <c r="I32" s="19">
        <f t="shared" si="8"/>
        <v>0.20699387578098166</v>
      </c>
    </row>
    <row r="33" spans="2:9" ht="16">
      <c r="B33" s="5" t="s">
        <v>26</v>
      </c>
      <c r="C33" s="12" t="s">
        <v>71</v>
      </c>
      <c r="D33" s="12" t="s">
        <v>72</v>
      </c>
      <c r="E33" s="19">
        <f t="shared" si="9"/>
        <v>0.33077266851107612</v>
      </c>
      <c r="G33" s="5" t="s">
        <v>26</v>
      </c>
      <c r="H33" s="18">
        <f t="shared" si="7"/>
        <v>0.30608268564639934</v>
      </c>
      <c r="I33" s="19">
        <f t="shared" si="8"/>
        <v>0.29002812819987528</v>
      </c>
    </row>
    <row r="34" spans="2:9" ht="32">
      <c r="B34" s="2" t="s">
        <v>27</v>
      </c>
      <c r="C34" s="12" t="s">
        <v>73</v>
      </c>
      <c r="D34" s="12" t="s">
        <v>74</v>
      </c>
      <c r="E34" s="19">
        <f t="shared" si="9"/>
        <v>1.4090700223222594</v>
      </c>
      <c r="G34" s="2" t="s">
        <v>27</v>
      </c>
      <c r="H34" s="18">
        <f t="shared" si="7"/>
        <v>9.5216117320753788E-2</v>
      </c>
      <c r="I34" s="19">
        <f t="shared" si="8"/>
        <v>0.16332677066169871</v>
      </c>
    </row>
    <row r="35" spans="2:9" ht="32">
      <c r="B35" s="2" t="s">
        <v>28</v>
      </c>
      <c r="C35" s="12" t="s">
        <v>75</v>
      </c>
      <c r="D35" s="12" t="s">
        <v>76</v>
      </c>
      <c r="E35" s="19">
        <f t="shared" si="9"/>
        <v>0.74413836185858551</v>
      </c>
      <c r="G35" s="2" t="s">
        <v>28</v>
      </c>
      <c r="H35" s="18">
        <f t="shared" si="7"/>
        <v>5.8230299147022116E-2</v>
      </c>
      <c r="I35" s="19">
        <f t="shared" si="8"/>
        <v>7.2314841607758681E-2</v>
      </c>
    </row>
    <row r="36" spans="2:9" ht="16">
      <c r="B36" s="5" t="s">
        <v>29</v>
      </c>
      <c r="C36" s="12" t="s">
        <v>77</v>
      </c>
      <c r="D36" s="12" t="s">
        <v>78</v>
      </c>
      <c r="E36" s="19">
        <f t="shared" si="9"/>
        <v>3.8681273673914829E-2</v>
      </c>
      <c r="G36" s="5" t="s">
        <v>29</v>
      </c>
      <c r="H36" s="18">
        <f t="shared" si="7"/>
        <v>0.2690968674726677</v>
      </c>
      <c r="I36" s="19">
        <f t="shared" si="8"/>
        <v>0.19901619914593527</v>
      </c>
    </row>
    <row r="37" spans="2:9">
      <c r="B37" s="8" t="s">
        <v>31</v>
      </c>
      <c r="C37" s="12" t="s">
        <v>79</v>
      </c>
      <c r="D37" s="26">
        <v>960780</v>
      </c>
      <c r="E37" s="19">
        <f t="shared" si="9"/>
        <v>-0.22562705525823712</v>
      </c>
      <c r="G37" s="8" t="s">
        <v>31</v>
      </c>
      <c r="H37" s="18">
        <f t="shared" si="7"/>
        <v>4.4863465503111231E-2</v>
      </c>
      <c r="I37" s="19">
        <f t="shared" si="8"/>
        <v>2.4736626553689058E-2</v>
      </c>
    </row>
    <row r="38" spans="2:9" ht="17" thickBot="1">
      <c r="B38" s="4" t="s">
        <v>30</v>
      </c>
      <c r="C38" s="13" t="s">
        <v>80</v>
      </c>
      <c r="D38" s="13" t="s">
        <v>81</v>
      </c>
      <c r="E38" s="23">
        <f t="shared" si="9"/>
        <v>9.1562724399273154E-2</v>
      </c>
      <c r="G38" s="4" t="s">
        <v>30</v>
      </c>
      <c r="H38" s="17">
        <f t="shared" si="7"/>
        <v>0.22423340196955646</v>
      </c>
      <c r="I38" s="23">
        <f t="shared" si="8"/>
        <v>0.17427957259224619</v>
      </c>
    </row>
    <row r="40" spans="2:9" ht="80">
      <c r="B40" s="119" t="s">
        <v>219</v>
      </c>
    </row>
  </sheetData>
  <phoneticPr fontId="3" type="noConversion"/>
  <pageMargins left="0.7" right="0.7" top="0.75" bottom="0.75" header="0.3" footer="0.3"/>
  <pageSetup paperSize="9" scale="73" orientation="landscape" r:id="rId1"/>
  <ignoredErrors>
    <ignoredError sqref="C3:D10 C11 C20:D22 C15:D18 C23:D40" numberStoredAsText="1"/>
    <ignoredError sqref="E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579E5-8976-4D80-8940-F535802FD790}">
  <dimension ref="A1:P113"/>
  <sheetViews>
    <sheetView topLeftCell="A60" zoomScaleNormal="100" workbookViewId="0">
      <selection activeCell="G51" sqref="G51:G52"/>
    </sheetView>
  </sheetViews>
  <sheetFormatPr baseColWidth="10" defaultColWidth="8.83203125" defaultRowHeight="13"/>
  <cols>
    <col min="1" max="1" width="4.5" style="28" customWidth="1"/>
    <col min="2" max="5" width="8.83203125" style="28"/>
    <col min="6" max="6" width="35.1640625" style="28" customWidth="1"/>
    <col min="7" max="7" width="15" style="75" bestFit="1" customWidth="1"/>
    <col min="8" max="8" width="2" style="28" customWidth="1"/>
    <col min="9" max="9" width="8.83203125" style="28"/>
    <col min="10" max="10" width="12.5" style="28" bestFit="1" customWidth="1"/>
    <col min="11" max="11" width="1.83203125" style="28" customWidth="1"/>
    <col min="12" max="12" width="33.83203125" style="28" customWidth="1"/>
    <col min="13" max="13" width="13.1640625" style="28" customWidth="1"/>
    <col min="14" max="14" width="13.83203125" style="28" customWidth="1"/>
    <col min="15" max="15" width="11.83203125" style="28" customWidth="1"/>
    <col min="16" max="16384" width="8.83203125" style="28"/>
  </cols>
  <sheetData>
    <row r="1" spans="1:16" ht="21" thickBot="1">
      <c r="A1" s="43"/>
      <c r="B1" s="42"/>
      <c r="C1" s="41" t="s">
        <v>193</v>
      </c>
      <c r="D1" s="41"/>
      <c r="E1" s="41"/>
      <c r="F1" s="41"/>
      <c r="G1" s="69"/>
      <c r="H1" s="56"/>
    </row>
    <row r="2" spans="1:16">
      <c r="A2" s="34"/>
      <c r="B2" s="34"/>
      <c r="C2" s="34"/>
      <c r="D2" s="34"/>
      <c r="E2" s="34"/>
      <c r="F2" s="34"/>
      <c r="G2" s="70"/>
      <c r="H2" s="34"/>
      <c r="M2" s="45" t="s">
        <v>200</v>
      </c>
      <c r="N2" s="46"/>
      <c r="O2" s="46"/>
      <c r="P2" s="47"/>
    </row>
    <row r="3" spans="1:16">
      <c r="A3" s="34"/>
      <c r="B3" s="115" t="s">
        <v>192</v>
      </c>
      <c r="C3" s="115"/>
      <c r="D3" s="115"/>
      <c r="E3" s="115"/>
      <c r="F3" s="34" t="s">
        <v>191</v>
      </c>
      <c r="G3" s="70"/>
      <c r="H3" s="34"/>
      <c r="M3" s="52" t="s">
        <v>201</v>
      </c>
      <c r="N3" s="53" t="s">
        <v>202</v>
      </c>
      <c r="O3" s="53" t="s">
        <v>203</v>
      </c>
      <c r="P3" s="48"/>
    </row>
    <row r="4" spans="1:16" ht="18">
      <c r="A4" s="29"/>
      <c r="B4" s="32"/>
      <c r="C4" s="31"/>
      <c r="D4" s="30"/>
      <c r="E4" s="30"/>
      <c r="F4" s="30" t="s">
        <v>190</v>
      </c>
      <c r="G4" s="71"/>
      <c r="H4" s="40"/>
      <c r="I4" s="76" t="s">
        <v>196</v>
      </c>
      <c r="J4" s="77">
        <f>362243533-16067192-1141150-240168-908-23704383</f>
        <v>321089732</v>
      </c>
      <c r="L4" s="88" t="s">
        <v>204</v>
      </c>
      <c r="M4" s="83">
        <v>5726636</v>
      </c>
      <c r="N4" s="84">
        <v>20962</v>
      </c>
      <c r="O4" s="84">
        <v>609618</v>
      </c>
      <c r="P4" s="47"/>
    </row>
    <row r="5" spans="1:16" ht="29">
      <c r="A5" s="29" t="s">
        <v>189</v>
      </c>
      <c r="B5" s="29"/>
      <c r="C5" s="31"/>
      <c r="D5" s="30"/>
      <c r="E5" s="30"/>
      <c r="F5" s="30"/>
      <c r="G5" s="72"/>
      <c r="H5" s="30"/>
      <c r="I5" s="78" t="s">
        <v>197</v>
      </c>
      <c r="J5" s="79">
        <f>362243533-54646429-9746141-52537107-964270</f>
        <v>244349586</v>
      </c>
      <c r="L5" s="91" t="s">
        <v>205</v>
      </c>
      <c r="M5" s="89">
        <v>1566947</v>
      </c>
      <c r="N5" s="84">
        <v>932605</v>
      </c>
      <c r="O5" s="84">
        <v>2488695</v>
      </c>
      <c r="P5" s="48"/>
    </row>
    <row r="6" spans="1:16" ht="29">
      <c r="A6" s="29"/>
      <c r="B6" s="100" t="s">
        <v>188</v>
      </c>
      <c r="C6" s="101"/>
      <c r="D6" s="101"/>
      <c r="E6" s="101"/>
      <c r="F6" s="102"/>
      <c r="G6" s="103">
        <f>Analysis!D38/((Analysis!C11+Analysis!D11)/2)</f>
        <v>1.7387141814237516E-2</v>
      </c>
      <c r="H6" s="33"/>
      <c r="I6" s="78" t="s">
        <v>195</v>
      </c>
      <c r="J6" s="79">
        <f>416387604-20135085-2025924-148565-340248+4717193-31778397</f>
        <v>366676578</v>
      </c>
      <c r="L6" s="91" t="s">
        <v>206</v>
      </c>
      <c r="M6" s="83">
        <v>10003207</v>
      </c>
      <c r="N6" s="84">
        <v>6307266</v>
      </c>
      <c r="O6" s="84">
        <v>6858435</v>
      </c>
      <c r="P6" s="48"/>
    </row>
    <row r="7" spans="1:16" ht="16">
      <c r="A7" s="29"/>
      <c r="B7" s="97" t="s">
        <v>187</v>
      </c>
      <c r="C7" s="98"/>
      <c r="D7" s="98"/>
      <c r="E7" s="98"/>
      <c r="F7" s="99"/>
      <c r="G7" s="104"/>
      <c r="H7" s="33"/>
      <c r="I7" s="78" t="s">
        <v>194</v>
      </c>
      <c r="J7" s="79">
        <f>416387604-597042-597042-10295714-61884753</f>
        <v>343013053</v>
      </c>
      <c r="L7" s="90" t="s">
        <v>4</v>
      </c>
      <c r="M7" s="83">
        <v>58264882</v>
      </c>
      <c r="N7" s="84">
        <v>25778453</v>
      </c>
      <c r="O7" s="84">
        <v>71269065</v>
      </c>
      <c r="P7" s="48"/>
    </row>
    <row r="8" spans="1:16" ht="29">
      <c r="A8" s="29"/>
      <c r="B8" s="100" t="s">
        <v>186</v>
      </c>
      <c r="C8" s="101"/>
      <c r="D8" s="101"/>
      <c r="E8" s="101"/>
      <c r="F8" s="102"/>
      <c r="G8" s="103">
        <f>Analysis!D38/((Analysis!C21+Analysis!D21)/2)</f>
        <v>0.14603512127531654</v>
      </c>
      <c r="H8" s="33"/>
      <c r="I8" s="78" t="s">
        <v>198</v>
      </c>
      <c r="J8" s="80">
        <f>SUM(M4:O9)</f>
        <v>209342508</v>
      </c>
      <c r="L8" s="91" t="s">
        <v>207</v>
      </c>
      <c r="M8" s="83">
        <v>3329936</v>
      </c>
      <c r="N8" s="84">
        <v>3869735</v>
      </c>
      <c r="O8" s="84">
        <v>9648054</v>
      </c>
      <c r="P8" s="48"/>
    </row>
    <row r="9" spans="1:16" ht="16">
      <c r="A9" s="29"/>
      <c r="B9" s="97" t="s">
        <v>185</v>
      </c>
      <c r="C9" s="98"/>
      <c r="D9" s="98"/>
      <c r="E9" s="98"/>
      <c r="F9" s="99"/>
      <c r="G9" s="104"/>
      <c r="H9" s="33"/>
      <c r="I9" s="81" t="s">
        <v>199</v>
      </c>
      <c r="J9" s="82">
        <f>SUM(M12:O18)</f>
        <v>247850797</v>
      </c>
      <c r="L9" s="90" t="s">
        <v>208</v>
      </c>
      <c r="M9" s="93">
        <v>2668012</v>
      </c>
      <c r="N9" s="85"/>
      <c r="O9" s="85"/>
      <c r="P9" s="50"/>
    </row>
    <row r="10" spans="1:16" ht="16">
      <c r="A10" s="29"/>
      <c r="B10" s="100" t="s">
        <v>184</v>
      </c>
      <c r="C10" s="101"/>
      <c r="D10" s="101"/>
      <c r="E10" s="101"/>
      <c r="F10" s="102"/>
      <c r="G10" s="103">
        <f>Analysis!D24/(Analysis!D24-Analysis!D38)</f>
        <v>1.2110636564234885</v>
      </c>
      <c r="H10" s="33"/>
      <c r="L10" s="55"/>
      <c r="M10" s="45" t="s">
        <v>200</v>
      </c>
      <c r="N10" s="46"/>
      <c r="O10" s="46"/>
      <c r="P10" s="47"/>
    </row>
    <row r="11" spans="1:16" ht="16">
      <c r="A11" s="29"/>
      <c r="B11" s="97" t="s">
        <v>183</v>
      </c>
      <c r="C11" s="98"/>
      <c r="D11" s="98"/>
      <c r="E11" s="98"/>
      <c r="F11" s="99"/>
      <c r="G11" s="104"/>
      <c r="H11" s="33"/>
      <c r="L11" s="54"/>
      <c r="M11" s="52" t="s">
        <v>201</v>
      </c>
      <c r="N11" s="53" t="s">
        <v>202</v>
      </c>
      <c r="O11" s="53" t="s">
        <v>203</v>
      </c>
      <c r="P11" s="48"/>
    </row>
    <row r="12" spans="1:16" ht="16">
      <c r="A12" s="29"/>
      <c r="B12" s="100" t="s">
        <v>182</v>
      </c>
      <c r="C12" s="101"/>
      <c r="D12" s="101"/>
      <c r="E12" s="101"/>
      <c r="F12" s="102"/>
      <c r="G12" s="103">
        <f>Analysis!D24/((J4+J6)/2)</f>
        <v>0.11294644833649965</v>
      </c>
      <c r="H12" s="33"/>
      <c r="L12" s="88" t="s">
        <v>209</v>
      </c>
      <c r="M12" s="89">
        <v>2861700</v>
      </c>
      <c r="N12" s="84">
        <v>941738</v>
      </c>
      <c r="O12" s="84">
        <v>518884</v>
      </c>
      <c r="P12" s="47"/>
    </row>
    <row r="13" spans="1:16" ht="16">
      <c r="A13" s="29"/>
      <c r="B13" s="97" t="s">
        <v>181</v>
      </c>
      <c r="C13" s="98"/>
      <c r="D13" s="98"/>
      <c r="E13" s="98"/>
      <c r="F13" s="99"/>
      <c r="G13" s="104"/>
      <c r="H13" s="33"/>
      <c r="L13" s="90" t="s">
        <v>210</v>
      </c>
      <c r="M13" s="89">
        <v>131321799</v>
      </c>
      <c r="N13" s="84">
        <v>35729366</v>
      </c>
      <c r="O13" s="84">
        <v>12801267</v>
      </c>
      <c r="P13" s="48"/>
    </row>
    <row r="14" spans="1:16" ht="16">
      <c r="A14" s="29"/>
      <c r="B14" s="100" t="s">
        <v>180</v>
      </c>
      <c r="C14" s="101"/>
      <c r="D14" s="101"/>
      <c r="E14" s="101"/>
      <c r="F14" s="102"/>
      <c r="G14" s="103">
        <f>Analysis!D25/((J5+J7)/2)</f>
        <v>7.4189703441454341E-2</v>
      </c>
      <c r="H14" s="33"/>
      <c r="L14" s="90" t="s">
        <v>211</v>
      </c>
      <c r="M14" s="89">
        <v>6877502</v>
      </c>
      <c r="N14" s="84">
        <v>671599</v>
      </c>
      <c r="O14" s="84">
        <v>1522792</v>
      </c>
      <c r="P14" s="48"/>
    </row>
    <row r="15" spans="1:16" ht="16">
      <c r="A15" s="29"/>
      <c r="B15" s="97" t="s">
        <v>179</v>
      </c>
      <c r="C15" s="98"/>
      <c r="D15" s="98"/>
      <c r="E15" s="98"/>
      <c r="F15" s="99"/>
      <c r="G15" s="104"/>
      <c r="H15" s="33"/>
      <c r="L15" s="90" t="s">
        <v>212</v>
      </c>
      <c r="M15" s="89">
        <v>747027</v>
      </c>
      <c r="N15" s="86"/>
      <c r="O15" s="86"/>
      <c r="P15" s="48"/>
    </row>
    <row r="16" spans="1:16">
      <c r="A16" s="34"/>
      <c r="B16" s="100" t="s">
        <v>178</v>
      </c>
      <c r="C16" s="101"/>
      <c r="D16" s="101"/>
      <c r="E16" s="101"/>
      <c r="F16" s="102"/>
      <c r="G16" s="103">
        <f>(Analysis!D27+Analysis!D28+Analysis!D29+Analysis!D30+Analysis!D35)/(Analysis!D32+Analysis!D34)</f>
        <v>0.351864702318194</v>
      </c>
      <c r="H16" s="33"/>
      <c r="L16" s="90" t="s">
        <v>213</v>
      </c>
      <c r="M16" s="89">
        <v>1256366</v>
      </c>
      <c r="N16" s="84">
        <v>3719454</v>
      </c>
      <c r="O16" s="84">
        <v>3915295</v>
      </c>
      <c r="P16" s="48"/>
    </row>
    <row r="17" spans="1:16" ht="28">
      <c r="A17" s="34"/>
      <c r="B17" s="97" t="s">
        <v>177</v>
      </c>
      <c r="C17" s="98"/>
      <c r="D17" s="98"/>
      <c r="E17" s="98"/>
      <c r="F17" s="99"/>
      <c r="G17" s="104"/>
      <c r="H17" s="33"/>
      <c r="L17" s="91" t="s">
        <v>214</v>
      </c>
      <c r="M17" s="89">
        <v>7375500</v>
      </c>
      <c r="N17" s="84">
        <v>21325384</v>
      </c>
      <c r="O17" s="84">
        <v>13017543</v>
      </c>
      <c r="P17" s="48"/>
    </row>
    <row r="18" spans="1:16">
      <c r="A18" s="34"/>
      <c r="B18" s="100" t="s">
        <v>176</v>
      </c>
      <c r="C18" s="101"/>
      <c r="D18" s="101"/>
      <c r="E18" s="101"/>
      <c r="F18" s="102"/>
      <c r="G18" s="103">
        <f>((Analysis!D32+Analysis!D34+Analysis!D34)-(Analysis!D35+Analysis!D32-Analysis!D26))/((J4+J6)/2)</f>
        <v>7.8313993018936906E-2</v>
      </c>
      <c r="H18" s="33"/>
      <c r="L18" s="92" t="s">
        <v>13</v>
      </c>
      <c r="M18" s="93">
        <v>1236049</v>
      </c>
      <c r="N18" s="87">
        <v>888618</v>
      </c>
      <c r="O18" s="87">
        <v>1122914</v>
      </c>
      <c r="P18" s="50"/>
    </row>
    <row r="19" spans="1:16">
      <c r="A19" s="34"/>
      <c r="B19" s="97" t="s">
        <v>175</v>
      </c>
      <c r="C19" s="98"/>
      <c r="D19" s="98"/>
      <c r="E19" s="98"/>
      <c r="F19" s="99"/>
      <c r="G19" s="104"/>
      <c r="H19" s="33"/>
    </row>
    <row r="20" spans="1:16">
      <c r="A20" s="34"/>
      <c r="B20" s="100" t="s">
        <v>174</v>
      </c>
      <c r="C20" s="101"/>
      <c r="D20" s="101"/>
      <c r="E20" s="101"/>
      <c r="F20" s="102"/>
      <c r="G20" s="103">
        <f>Analysis!D26/((Analysis!C11+Analysis!D11)/2)</f>
        <v>4.380058846786139E-2</v>
      </c>
      <c r="H20" s="33"/>
      <c r="L20" s="94"/>
      <c r="M20" s="51"/>
      <c r="N20" s="51"/>
    </row>
    <row r="21" spans="1:16">
      <c r="A21" s="34"/>
      <c r="B21" s="97" t="s">
        <v>173</v>
      </c>
      <c r="C21" s="98"/>
      <c r="D21" s="98"/>
      <c r="E21" s="98"/>
      <c r="F21" s="99"/>
      <c r="G21" s="104"/>
      <c r="H21" s="33"/>
      <c r="L21" s="95"/>
      <c r="M21" s="49"/>
      <c r="N21" s="51"/>
    </row>
    <row r="22" spans="1:16">
      <c r="A22" s="34"/>
      <c r="B22" s="100" t="s">
        <v>172</v>
      </c>
      <c r="C22" s="101"/>
      <c r="D22" s="101"/>
      <c r="E22" s="101"/>
      <c r="F22" s="102"/>
      <c r="G22" s="103">
        <f>Analysis!D32/Analysis!D31</f>
        <v>0.41646823304216152</v>
      </c>
      <c r="H22" s="33"/>
      <c r="L22" s="86"/>
      <c r="M22" s="49"/>
      <c r="N22" s="51"/>
    </row>
    <row r="23" spans="1:16">
      <c r="A23" s="34"/>
      <c r="B23" s="97" t="s">
        <v>171</v>
      </c>
      <c r="C23" s="98"/>
      <c r="D23" s="98"/>
      <c r="E23" s="98"/>
      <c r="F23" s="99"/>
      <c r="G23" s="104"/>
      <c r="H23" s="33"/>
      <c r="L23" s="86"/>
      <c r="M23" s="49"/>
      <c r="N23" s="51"/>
    </row>
    <row r="24" spans="1:16">
      <c r="A24" s="34"/>
      <c r="B24" s="100" t="s">
        <v>170</v>
      </c>
      <c r="C24" s="101"/>
      <c r="D24" s="101"/>
      <c r="E24" s="101"/>
      <c r="F24" s="102"/>
      <c r="G24" s="103">
        <f>Analysis!D25/Analysis!D24</f>
        <v>0.56096591843421928</v>
      </c>
      <c r="H24" s="33"/>
      <c r="L24" s="94"/>
      <c r="M24" s="96"/>
      <c r="N24" s="51"/>
    </row>
    <row r="25" spans="1:16">
      <c r="A25" s="34"/>
      <c r="B25" s="97" t="s">
        <v>169</v>
      </c>
      <c r="C25" s="98"/>
      <c r="D25" s="98"/>
      <c r="E25" s="98"/>
      <c r="F25" s="99"/>
      <c r="G25" s="104"/>
      <c r="H25" s="33"/>
      <c r="L25" s="51"/>
      <c r="M25" s="51"/>
      <c r="N25" s="51"/>
    </row>
    <row r="26" spans="1:16">
      <c r="A26" s="34"/>
      <c r="B26" s="100" t="s">
        <v>168</v>
      </c>
      <c r="C26" s="101"/>
      <c r="D26" s="101"/>
      <c r="E26" s="101"/>
      <c r="F26" s="102"/>
      <c r="G26" s="103">
        <f>(Analysis!D35+Analysis!D31-Analysis!D26)/Analysis!D24</f>
        <v>0.13030276402283489</v>
      </c>
      <c r="H26" s="33"/>
      <c r="L26" s="95"/>
      <c r="M26" s="49"/>
      <c r="N26" s="51"/>
    </row>
    <row r="27" spans="1:16">
      <c r="A27" s="34"/>
      <c r="B27" s="97" t="s">
        <v>167</v>
      </c>
      <c r="C27" s="98"/>
      <c r="D27" s="98"/>
      <c r="E27" s="98"/>
      <c r="F27" s="99"/>
      <c r="G27" s="104"/>
      <c r="H27" s="33"/>
      <c r="L27" s="51"/>
      <c r="M27" s="49"/>
      <c r="N27" s="51"/>
    </row>
    <row r="28" spans="1:16">
      <c r="A28" s="34"/>
      <c r="B28" s="100" t="s">
        <v>166</v>
      </c>
      <c r="C28" s="101"/>
      <c r="D28" s="101"/>
      <c r="E28" s="101"/>
      <c r="F28" s="102"/>
      <c r="G28" s="103">
        <f>Analysis!D32/((Analysis!C11+Analysis!D11)/2)</f>
        <v>2.0650910599276484E-2</v>
      </c>
      <c r="H28" s="33"/>
      <c r="L28" s="51"/>
      <c r="M28" s="49"/>
      <c r="N28" s="51"/>
    </row>
    <row r="29" spans="1:16">
      <c r="A29" s="34"/>
      <c r="B29" s="97" t="s">
        <v>165</v>
      </c>
      <c r="C29" s="98"/>
      <c r="D29" s="98"/>
      <c r="E29" s="98"/>
      <c r="F29" s="99"/>
      <c r="G29" s="104"/>
      <c r="H29" s="33"/>
      <c r="L29" s="51"/>
      <c r="M29" s="49"/>
      <c r="N29" s="51"/>
    </row>
    <row r="30" spans="1:16" ht="22.25" customHeight="1">
      <c r="A30" s="34"/>
      <c r="B30" s="100" t="s">
        <v>164</v>
      </c>
      <c r="C30" s="101"/>
      <c r="D30" s="101"/>
      <c r="E30" s="101"/>
      <c r="F30" s="102"/>
      <c r="G30" s="103">
        <f>Analysis!D26/((J4+J6)/2)</f>
        <v>4.9587340211532022E-2</v>
      </c>
      <c r="H30" s="33"/>
      <c r="L30" s="51"/>
      <c r="M30" s="49"/>
      <c r="N30" s="51"/>
    </row>
    <row r="31" spans="1:16">
      <c r="A31" s="34"/>
      <c r="B31" s="97" t="s">
        <v>163</v>
      </c>
      <c r="C31" s="98"/>
      <c r="D31" s="98"/>
      <c r="E31" s="98"/>
      <c r="F31" s="99"/>
      <c r="G31" s="105"/>
      <c r="H31" s="57"/>
      <c r="L31" s="94"/>
      <c r="M31" s="96"/>
      <c r="N31" s="51"/>
    </row>
    <row r="32" spans="1:16">
      <c r="A32" s="34"/>
      <c r="B32" s="100" t="s">
        <v>162</v>
      </c>
      <c r="C32" s="101"/>
      <c r="D32" s="101"/>
      <c r="E32" s="101"/>
      <c r="F32" s="102"/>
      <c r="G32" s="103">
        <f>(23388053+7293073)/((Analysis!C6+Analysis!D6)/2)</f>
        <v>0.12279201848994228</v>
      </c>
      <c r="H32" s="33"/>
      <c r="L32" s="51"/>
      <c r="M32" s="51"/>
      <c r="N32" s="51"/>
    </row>
    <row r="33" spans="1:14">
      <c r="A33" s="34"/>
      <c r="B33" s="97" t="s">
        <v>161</v>
      </c>
      <c r="C33" s="98"/>
      <c r="D33" s="98"/>
      <c r="E33" s="98"/>
      <c r="F33" s="99"/>
      <c r="G33" s="105"/>
      <c r="H33" s="57"/>
      <c r="L33" s="95"/>
      <c r="M33" s="49"/>
      <c r="N33" s="51"/>
    </row>
    <row r="34" spans="1:14">
      <c r="A34" s="34"/>
      <c r="B34" s="100" t="s">
        <v>160</v>
      </c>
      <c r="C34" s="101"/>
      <c r="D34" s="101"/>
      <c r="E34" s="101"/>
      <c r="F34" s="102"/>
      <c r="G34" s="108">
        <f>(Analysis!D32+Analysis!D34)/(Analysis!D26-Analysis!D27+Analysis!D28+Analysis!D29+Analysis!D30)</f>
        <v>0.52402640440538795</v>
      </c>
      <c r="H34" s="58"/>
      <c r="L34" s="51"/>
      <c r="M34" s="49"/>
      <c r="N34" s="51"/>
    </row>
    <row r="35" spans="1:14">
      <c r="A35" s="34"/>
      <c r="B35" s="97" t="s">
        <v>159</v>
      </c>
      <c r="C35" s="98"/>
      <c r="D35" s="98"/>
      <c r="E35" s="98"/>
      <c r="F35" s="99"/>
      <c r="G35" s="105"/>
      <c r="H35" s="57"/>
      <c r="L35" s="51"/>
      <c r="M35" s="49"/>
      <c r="N35" s="51"/>
    </row>
    <row r="36" spans="1:14">
      <c r="A36" s="34"/>
      <c r="B36" s="100" t="s">
        <v>158</v>
      </c>
      <c r="C36" s="101"/>
      <c r="D36" s="101"/>
      <c r="E36" s="101"/>
      <c r="F36" s="102"/>
      <c r="G36" s="108">
        <f>((Analysis!D22-BankRatioAnalysis!J7)-(Analysis!D11-BankRatioAnalysis!J6))/((BankRatioAnalysis!J4+BankRatioAnalysis!J6)/2)</f>
        <v>6.8812690170880861E-2</v>
      </c>
      <c r="H36" s="58"/>
      <c r="L36" s="94"/>
      <c r="M36" s="96"/>
      <c r="N36" s="51"/>
    </row>
    <row r="37" spans="1:14">
      <c r="A37" s="34"/>
      <c r="B37" s="97" t="s">
        <v>157</v>
      </c>
      <c r="C37" s="98"/>
      <c r="D37" s="98"/>
      <c r="E37" s="98"/>
      <c r="F37" s="99"/>
      <c r="G37" s="105"/>
      <c r="H37" s="57"/>
      <c r="L37" s="51"/>
      <c r="M37" s="51"/>
      <c r="N37" s="51"/>
    </row>
    <row r="38" spans="1:14">
      <c r="A38" s="34"/>
      <c r="B38" s="100" t="s">
        <v>156</v>
      </c>
      <c r="C38" s="101"/>
      <c r="D38" s="101"/>
      <c r="E38" s="101"/>
      <c r="F38" s="102"/>
      <c r="G38" s="117">
        <f>J8-J9</f>
        <v>-38508289</v>
      </c>
      <c r="H38" s="59"/>
      <c r="J38" s="44"/>
      <c r="L38" s="51"/>
      <c r="M38" s="51"/>
      <c r="N38" s="51"/>
    </row>
    <row r="39" spans="1:14">
      <c r="A39" s="34"/>
      <c r="B39" s="97" t="s">
        <v>155</v>
      </c>
      <c r="C39" s="98"/>
      <c r="D39" s="98"/>
      <c r="E39" s="98"/>
      <c r="F39" s="99"/>
      <c r="G39" s="118"/>
      <c r="H39" s="57"/>
      <c r="L39" s="51"/>
      <c r="M39" s="51"/>
      <c r="N39" s="51"/>
    </row>
    <row r="40" spans="1:14">
      <c r="A40" s="34"/>
      <c r="B40" s="100" t="s">
        <v>154</v>
      </c>
      <c r="C40" s="101"/>
      <c r="D40" s="101"/>
      <c r="E40" s="101"/>
      <c r="F40" s="102"/>
      <c r="G40" s="108">
        <f>J8/J9</f>
        <v>0.84463116735509225</v>
      </c>
      <c r="H40" s="58"/>
    </row>
    <row r="41" spans="1:14">
      <c r="A41" s="34"/>
      <c r="B41" s="97" t="s">
        <v>153</v>
      </c>
      <c r="C41" s="98"/>
      <c r="D41" s="98"/>
      <c r="E41" s="98"/>
      <c r="F41" s="99"/>
      <c r="G41" s="105"/>
      <c r="H41" s="57"/>
    </row>
    <row r="42" spans="1:14">
      <c r="A42" s="34"/>
      <c r="B42" s="32"/>
      <c r="C42" s="31"/>
      <c r="D42" s="30"/>
      <c r="E42" s="30"/>
      <c r="F42" s="30"/>
      <c r="G42" s="73"/>
      <c r="H42" s="39"/>
    </row>
    <row r="43" spans="1:14">
      <c r="A43" s="34"/>
      <c r="B43" s="34"/>
      <c r="C43" s="34"/>
      <c r="D43" s="34"/>
      <c r="E43" s="34"/>
      <c r="F43" s="34"/>
      <c r="G43" s="70"/>
      <c r="H43" s="34"/>
    </row>
    <row r="44" spans="1:14" ht="16">
      <c r="A44" s="29" t="s">
        <v>152</v>
      </c>
      <c r="B44" s="32"/>
      <c r="C44" s="31"/>
      <c r="D44" s="30"/>
      <c r="E44" s="30"/>
      <c r="F44" s="30"/>
      <c r="G44" s="72"/>
      <c r="H44" s="30"/>
    </row>
    <row r="45" spans="1:14" ht="16">
      <c r="A45" s="29"/>
      <c r="B45" s="100" t="s">
        <v>151</v>
      </c>
      <c r="C45" s="101"/>
      <c r="D45" s="101"/>
      <c r="E45" s="101"/>
      <c r="F45" s="102"/>
      <c r="G45" s="108">
        <f>Analysis!D11/Analysis!D21</f>
        <v>8.3745450177777343</v>
      </c>
      <c r="H45" s="60"/>
    </row>
    <row r="46" spans="1:14" ht="16">
      <c r="A46" s="29"/>
      <c r="B46" s="97" t="s">
        <v>150</v>
      </c>
      <c r="C46" s="98"/>
      <c r="D46" s="98"/>
      <c r="E46" s="98"/>
      <c r="F46" s="99"/>
      <c r="G46" s="111"/>
      <c r="H46" s="60"/>
    </row>
    <row r="47" spans="1:14" ht="16">
      <c r="A47" s="29"/>
      <c r="B47" s="100" t="s">
        <v>149</v>
      </c>
      <c r="C47" s="101"/>
      <c r="D47" s="101"/>
      <c r="E47" s="101"/>
      <c r="F47" s="102"/>
      <c r="G47" s="103">
        <f>(Analysis!D8+Analysis!D9)/Analysis!D21</f>
        <v>0.47536969769325499</v>
      </c>
      <c r="H47" s="33"/>
    </row>
    <row r="48" spans="1:14" ht="16">
      <c r="A48" s="29"/>
      <c r="B48" s="97" t="s">
        <v>148</v>
      </c>
      <c r="C48" s="98"/>
      <c r="D48" s="98"/>
      <c r="E48" s="98"/>
      <c r="F48" s="99"/>
      <c r="G48" s="104"/>
      <c r="H48" s="33"/>
    </row>
    <row r="49" spans="1:8" ht="16">
      <c r="A49" s="29"/>
      <c r="B49" s="38" t="s">
        <v>147</v>
      </c>
      <c r="C49" s="37"/>
      <c r="D49" s="36"/>
      <c r="E49" s="36"/>
      <c r="F49" s="36"/>
      <c r="G49" s="103">
        <f>(181504177-217012112)/Analysis!D21</f>
        <v>-0.71414902194308749</v>
      </c>
      <c r="H49" s="33"/>
    </row>
    <row r="50" spans="1:8" ht="16">
      <c r="A50" s="29"/>
      <c r="B50" s="97" t="s">
        <v>146</v>
      </c>
      <c r="C50" s="98"/>
      <c r="D50" s="98"/>
      <c r="E50" s="98"/>
      <c r="F50" s="99"/>
      <c r="G50" s="104"/>
      <c r="H50" s="33"/>
    </row>
    <row r="51" spans="1:8" ht="16">
      <c r="A51" s="29"/>
      <c r="B51" s="100" t="s">
        <v>145</v>
      </c>
      <c r="C51" s="101"/>
      <c r="D51" s="101"/>
      <c r="E51" s="101"/>
      <c r="F51" s="102"/>
      <c r="G51" s="103">
        <f>Analysis!D21/(Analysis!D11+401605163)</f>
        <v>6.0783696391779954E-2</v>
      </c>
      <c r="H51" s="33"/>
    </row>
    <row r="52" spans="1:8" ht="16">
      <c r="A52" s="29"/>
      <c r="B52" s="97" t="s">
        <v>144</v>
      </c>
      <c r="C52" s="98"/>
      <c r="D52" s="98"/>
      <c r="E52" s="98"/>
      <c r="F52" s="99"/>
      <c r="G52" s="104"/>
      <c r="H52" s="33"/>
    </row>
    <row r="53" spans="1:8" ht="16">
      <c r="A53" s="29"/>
      <c r="B53" s="100" t="s">
        <v>143</v>
      </c>
      <c r="C53" s="101"/>
      <c r="D53" s="101"/>
      <c r="E53" s="101"/>
      <c r="F53" s="102"/>
      <c r="G53" s="103">
        <f>(Analysis!D21-(Analysis!D8+Analysis!D9))/Analysis!D11</f>
        <v>6.2645827468005025E-2</v>
      </c>
      <c r="H53" s="33"/>
    </row>
    <row r="54" spans="1:8" ht="16">
      <c r="A54" s="29"/>
      <c r="B54" s="97" t="s">
        <v>142</v>
      </c>
      <c r="C54" s="98"/>
      <c r="D54" s="98"/>
      <c r="E54" s="98"/>
      <c r="F54" s="99"/>
      <c r="G54" s="112"/>
      <c r="H54" s="33"/>
    </row>
    <row r="55" spans="1:8" ht="16">
      <c r="A55" s="29"/>
      <c r="B55" s="100" t="s">
        <v>141</v>
      </c>
      <c r="C55" s="101"/>
      <c r="D55" s="101"/>
      <c r="E55" s="101"/>
      <c r="F55" s="102"/>
      <c r="G55" s="116">
        <f>Analysis!D21/Analysis!D11</f>
        <v>0.11940947214173071</v>
      </c>
      <c r="H55" s="61"/>
    </row>
    <row r="56" spans="1:8" ht="16">
      <c r="A56" s="29"/>
      <c r="B56" s="97" t="s">
        <v>140</v>
      </c>
      <c r="C56" s="98"/>
      <c r="D56" s="98"/>
      <c r="E56" s="98"/>
      <c r="F56" s="99"/>
      <c r="G56" s="110"/>
      <c r="H56" s="62"/>
    </row>
    <row r="57" spans="1:8" ht="16">
      <c r="A57" s="29"/>
      <c r="B57" s="68" t="s">
        <v>218</v>
      </c>
      <c r="G57" s="109" t="s">
        <v>217</v>
      </c>
      <c r="H57" s="63"/>
    </row>
    <row r="58" spans="1:8" ht="16">
      <c r="A58" s="29"/>
      <c r="B58" s="97" t="s">
        <v>139</v>
      </c>
      <c r="C58" s="98"/>
      <c r="D58" s="98"/>
      <c r="E58" s="98"/>
      <c r="F58" s="99"/>
      <c r="G58" s="110"/>
      <c r="H58" s="51"/>
    </row>
    <row r="59" spans="1:8" ht="16">
      <c r="A59" s="29"/>
      <c r="B59" s="100" t="s">
        <v>138</v>
      </c>
      <c r="C59" s="101"/>
      <c r="D59" s="101"/>
      <c r="E59" s="101"/>
      <c r="F59" s="102"/>
      <c r="G59" s="116">
        <f>(SUM(Analysis!D14:D15))/Analysis!D21</f>
        <v>3.7269698988492181</v>
      </c>
      <c r="H59" s="61"/>
    </row>
    <row r="60" spans="1:8" ht="16">
      <c r="A60" s="29"/>
      <c r="B60" s="97" t="s">
        <v>137</v>
      </c>
      <c r="C60" s="98"/>
      <c r="D60" s="98"/>
      <c r="E60" s="98"/>
      <c r="F60" s="99"/>
      <c r="G60" s="110"/>
      <c r="H60" s="62"/>
    </row>
    <row r="61" spans="1:8" ht="32.5" customHeight="1">
      <c r="A61" s="29"/>
      <c r="B61" s="100" t="s">
        <v>136</v>
      </c>
      <c r="C61" s="101"/>
      <c r="D61" s="101"/>
      <c r="E61" s="101"/>
      <c r="F61" s="102"/>
      <c r="G61" s="103">
        <f>(Analysis!D38-1679172)/((Analysis!C21+Analysis!D21)/2)</f>
        <v>0.1098089420114846</v>
      </c>
      <c r="H61" s="61"/>
    </row>
    <row r="62" spans="1:8" ht="16">
      <c r="A62" s="29"/>
      <c r="B62" s="97" t="s">
        <v>135</v>
      </c>
      <c r="C62" s="98"/>
      <c r="D62" s="98"/>
      <c r="E62" s="98"/>
      <c r="F62" s="99"/>
      <c r="G62" s="118"/>
      <c r="H62" s="61"/>
    </row>
    <row r="63" spans="1:8" ht="16">
      <c r="A63" s="29"/>
      <c r="B63" s="32"/>
      <c r="C63" s="31"/>
      <c r="D63" s="30"/>
      <c r="E63" s="30"/>
      <c r="F63" s="30"/>
      <c r="G63" s="33"/>
      <c r="H63" s="33"/>
    </row>
    <row r="64" spans="1:8" ht="16">
      <c r="A64" s="29"/>
      <c r="B64" s="32"/>
      <c r="C64" s="31"/>
      <c r="D64" s="30"/>
      <c r="E64" s="30"/>
      <c r="F64" s="30"/>
      <c r="G64" s="113"/>
      <c r="H64" s="39"/>
    </row>
    <row r="65" spans="1:8" ht="16">
      <c r="A65" s="29" t="s">
        <v>134</v>
      </c>
      <c r="B65" s="32"/>
      <c r="C65" s="31"/>
      <c r="D65" s="30"/>
      <c r="E65" s="30"/>
      <c r="F65" s="30"/>
      <c r="G65" s="114"/>
      <c r="H65" s="64"/>
    </row>
    <row r="66" spans="1:8" ht="16">
      <c r="A66" s="29"/>
      <c r="B66" s="100" t="s">
        <v>133</v>
      </c>
      <c r="C66" s="101"/>
      <c r="D66" s="101"/>
      <c r="E66" s="101"/>
      <c r="F66" s="102"/>
      <c r="G66" s="103">
        <f>Analysis!D6/(Analysis!D13+Analysis!D14)</f>
        <v>1.0613508207234765</v>
      </c>
      <c r="H66" s="33"/>
    </row>
    <row r="67" spans="1:8" ht="16">
      <c r="A67" s="29"/>
      <c r="B67" s="97" t="s">
        <v>132</v>
      </c>
      <c r="C67" s="98"/>
      <c r="D67" s="98"/>
      <c r="E67" s="98"/>
      <c r="F67" s="99"/>
      <c r="G67" s="104"/>
      <c r="H67" s="33"/>
    </row>
    <row r="68" spans="1:8" ht="16">
      <c r="A68" s="29"/>
      <c r="B68" s="100" t="s">
        <v>131</v>
      </c>
      <c r="C68" s="101"/>
      <c r="D68" s="101"/>
      <c r="E68" s="101"/>
      <c r="F68" s="102"/>
      <c r="G68" s="103">
        <f>(69202831+33761698)/(Analysis!D13+Analysis!D14+Analysis!D15)</f>
        <v>0.30307111595015873</v>
      </c>
      <c r="H68" s="33"/>
    </row>
    <row r="69" spans="1:8" ht="16">
      <c r="A69" s="29"/>
      <c r="B69" s="97" t="s">
        <v>130</v>
      </c>
      <c r="C69" s="98"/>
      <c r="D69" s="98"/>
      <c r="E69" s="98"/>
      <c r="F69" s="99"/>
      <c r="G69" s="104"/>
      <c r="H69" s="33"/>
    </row>
    <row r="70" spans="1:8" ht="16">
      <c r="A70" s="29"/>
      <c r="B70" s="100" t="s">
        <v>129</v>
      </c>
      <c r="C70" s="101"/>
      <c r="D70" s="101"/>
      <c r="E70" s="101"/>
      <c r="F70" s="102"/>
      <c r="G70" s="108">
        <f>141076/217012</f>
        <v>0.6500838663299725</v>
      </c>
      <c r="H70" s="65"/>
    </row>
    <row r="71" spans="1:8" ht="16">
      <c r="A71" s="29"/>
      <c r="B71" s="97" t="s">
        <v>128</v>
      </c>
      <c r="C71" s="98"/>
      <c r="D71" s="98"/>
      <c r="E71" s="98"/>
      <c r="F71" s="99"/>
      <c r="G71" s="105"/>
      <c r="H71" s="51"/>
    </row>
    <row r="72" spans="1:8" ht="16">
      <c r="A72" s="29"/>
      <c r="B72" s="38" t="s">
        <v>127</v>
      </c>
      <c r="C72" s="37"/>
      <c r="D72" s="36"/>
      <c r="E72" s="36"/>
      <c r="F72" s="36"/>
      <c r="G72" s="103">
        <f>(69202831+33761698)/Analysis!D11</f>
        <v>0.24728048580427961</v>
      </c>
      <c r="H72" s="33"/>
    </row>
    <row r="73" spans="1:8" ht="16">
      <c r="A73" s="29"/>
      <c r="B73" s="97" t="s">
        <v>126</v>
      </c>
      <c r="C73" s="98"/>
      <c r="D73" s="98"/>
      <c r="E73" s="98"/>
      <c r="F73" s="99"/>
      <c r="G73" s="104"/>
      <c r="H73" s="33"/>
    </row>
    <row r="74" spans="1:8" ht="16">
      <c r="A74" s="29"/>
      <c r="B74" s="100" t="s">
        <v>125</v>
      </c>
      <c r="C74" s="101"/>
      <c r="D74" s="101"/>
      <c r="E74" s="101"/>
      <c r="F74" s="102"/>
      <c r="G74" s="103">
        <f>(56835860/159820924)</f>
        <v>0.35562214619657684</v>
      </c>
      <c r="H74" s="33"/>
    </row>
    <row r="75" spans="1:8" ht="16">
      <c r="A75" s="29"/>
      <c r="B75" s="97" t="s">
        <v>216</v>
      </c>
      <c r="C75" s="98"/>
      <c r="D75" s="98"/>
      <c r="E75" s="98"/>
      <c r="F75" s="99"/>
      <c r="G75" s="105"/>
      <c r="H75" s="57"/>
    </row>
    <row r="76" spans="1:8" ht="16">
      <c r="A76" s="29"/>
      <c r="B76" s="100" t="s">
        <v>124</v>
      </c>
      <c r="C76" s="101"/>
      <c r="D76" s="101"/>
      <c r="E76" s="101"/>
      <c r="F76" s="102"/>
      <c r="G76" s="106" t="s">
        <v>217</v>
      </c>
      <c r="H76" s="33"/>
    </row>
    <row r="77" spans="1:8" ht="16">
      <c r="A77" s="29"/>
      <c r="B77" s="97" t="s">
        <v>123</v>
      </c>
      <c r="C77" s="98"/>
      <c r="D77" s="98"/>
      <c r="E77" s="98"/>
      <c r="F77" s="99"/>
      <c r="G77" s="107"/>
      <c r="H77" s="57"/>
    </row>
    <row r="78" spans="1:8" ht="16">
      <c r="A78" s="29"/>
      <c r="B78" s="38" t="s">
        <v>122</v>
      </c>
      <c r="C78" s="37"/>
      <c r="D78" s="36"/>
      <c r="E78" s="36"/>
      <c r="F78" s="36"/>
      <c r="G78" s="106" t="s">
        <v>217</v>
      </c>
      <c r="H78" s="33"/>
    </row>
    <row r="79" spans="1:8" ht="16">
      <c r="A79" s="29"/>
      <c r="B79" s="97" t="s">
        <v>121</v>
      </c>
      <c r="C79" s="98"/>
      <c r="D79" s="98"/>
      <c r="E79" s="98"/>
      <c r="F79" s="99"/>
      <c r="G79" s="107"/>
      <c r="H79" s="57"/>
    </row>
    <row r="80" spans="1:8" ht="16">
      <c r="A80" s="29"/>
      <c r="B80" s="31"/>
      <c r="G80" s="74"/>
      <c r="H80" s="35"/>
    </row>
    <row r="81" spans="1:8">
      <c r="A81" s="34"/>
      <c r="B81" s="34"/>
      <c r="C81" s="34"/>
      <c r="D81" s="34"/>
      <c r="E81" s="34"/>
      <c r="F81" s="34"/>
      <c r="G81" s="70"/>
      <c r="H81" s="34"/>
    </row>
    <row r="82" spans="1:8" ht="16">
      <c r="A82" s="29" t="s">
        <v>120</v>
      </c>
      <c r="B82" s="32"/>
      <c r="C82" s="31"/>
      <c r="D82" s="30"/>
      <c r="E82" s="30"/>
      <c r="F82" s="30"/>
      <c r="G82" s="72"/>
      <c r="H82" s="30"/>
    </row>
    <row r="83" spans="1:8" ht="16">
      <c r="A83" s="29"/>
      <c r="B83" s="100" t="s">
        <v>119</v>
      </c>
      <c r="C83" s="101"/>
      <c r="D83" s="101"/>
      <c r="E83" s="101"/>
      <c r="F83" s="102"/>
      <c r="G83" s="103">
        <f>Analysis!D6/Analysis!D11</f>
        <v>0.62517781148931606</v>
      </c>
      <c r="H83" s="33"/>
    </row>
    <row r="84" spans="1:8" ht="16">
      <c r="A84" s="29"/>
      <c r="B84" s="97" t="s">
        <v>118</v>
      </c>
      <c r="C84" s="98"/>
      <c r="D84" s="98"/>
      <c r="E84" s="98"/>
      <c r="F84" s="99"/>
      <c r="G84" s="104"/>
      <c r="H84" s="33"/>
    </row>
    <row r="85" spans="1:8" ht="16">
      <c r="A85" s="29"/>
      <c r="B85" s="100" t="s">
        <v>117</v>
      </c>
      <c r="C85" s="101"/>
      <c r="D85" s="101"/>
      <c r="E85" s="101"/>
      <c r="F85" s="102"/>
      <c r="G85" s="103">
        <f>J6/Analysis!D11</f>
        <v>0.88061357849644339</v>
      </c>
      <c r="H85" s="33"/>
    </row>
    <row r="86" spans="1:8" ht="16">
      <c r="A86" s="29"/>
      <c r="B86" s="97" t="s">
        <v>116</v>
      </c>
      <c r="C86" s="98"/>
      <c r="D86" s="98"/>
      <c r="E86" s="98"/>
      <c r="F86" s="99"/>
      <c r="G86" s="104"/>
      <c r="H86" s="33"/>
    </row>
    <row r="87" spans="1:8" ht="16">
      <c r="A87" s="29"/>
      <c r="B87" s="100" t="s">
        <v>115</v>
      </c>
      <c r="C87" s="101"/>
      <c r="D87" s="101"/>
      <c r="E87" s="101"/>
      <c r="F87" s="102"/>
      <c r="G87" s="103">
        <f>(401605163)/Analysis!D11</f>
        <v>0.96449836436533298</v>
      </c>
      <c r="H87" s="33"/>
    </row>
    <row r="88" spans="1:8" ht="16">
      <c r="A88" s="29"/>
      <c r="B88" s="97" t="s">
        <v>114</v>
      </c>
      <c r="C88" s="98"/>
      <c r="D88" s="98"/>
      <c r="E88" s="98"/>
      <c r="F88" s="99"/>
      <c r="G88" s="104"/>
      <c r="H88" s="33"/>
    </row>
    <row r="89" spans="1:8" ht="16">
      <c r="A89" s="29"/>
      <c r="B89" s="100" t="s">
        <v>113</v>
      </c>
      <c r="C89" s="101"/>
      <c r="D89" s="101"/>
      <c r="E89" s="101"/>
      <c r="F89" s="102"/>
      <c r="G89" s="103">
        <f>Analysis!D7/Analysis!D6</f>
        <v>4.2992656959759769E-2</v>
      </c>
      <c r="H89" s="33"/>
    </row>
    <row r="90" spans="1:8" ht="16">
      <c r="A90" s="29"/>
      <c r="B90" s="97" t="s">
        <v>112</v>
      </c>
      <c r="C90" s="98"/>
      <c r="D90" s="98"/>
      <c r="E90" s="98"/>
      <c r="F90" s="99"/>
      <c r="G90" s="104"/>
      <c r="H90" s="33"/>
    </row>
    <row r="91" spans="1:8" ht="16">
      <c r="A91" s="29"/>
      <c r="B91" s="100" t="s">
        <v>111</v>
      </c>
      <c r="C91" s="101"/>
      <c r="D91" s="101"/>
      <c r="E91" s="101"/>
      <c r="F91" s="102"/>
      <c r="G91" s="103">
        <f>1942795/Analysis!D7</f>
        <v>0.17359265433483723</v>
      </c>
      <c r="H91" s="33"/>
    </row>
    <row r="92" spans="1:8" ht="16">
      <c r="A92" s="29"/>
      <c r="B92" s="97" t="s">
        <v>110</v>
      </c>
      <c r="C92" s="98"/>
      <c r="D92" s="98"/>
      <c r="E92" s="98"/>
      <c r="F92" s="99"/>
      <c r="G92" s="104"/>
      <c r="H92" s="33"/>
    </row>
    <row r="93" spans="1:8" ht="16">
      <c r="A93" s="29"/>
      <c r="B93" s="100" t="s">
        <v>109</v>
      </c>
      <c r="C93" s="101"/>
      <c r="D93" s="101"/>
      <c r="E93" s="101"/>
      <c r="F93" s="102"/>
      <c r="G93" s="103">
        <f>(Analysis!D9+Analysis!D8+Analysis!D10)/Analysis!D11</f>
        <v>9.466812321338941E-2</v>
      </c>
      <c r="H93" s="33"/>
    </row>
    <row r="94" spans="1:8" ht="16">
      <c r="A94" s="29"/>
      <c r="B94" s="97" t="s">
        <v>108</v>
      </c>
      <c r="C94" s="98"/>
      <c r="D94" s="98"/>
      <c r="E94" s="98"/>
      <c r="F94" s="99"/>
      <c r="G94" s="104"/>
      <c r="H94" s="33"/>
    </row>
    <row r="95" spans="1:8" ht="16">
      <c r="A95" s="29"/>
      <c r="B95" s="100" t="s">
        <v>107</v>
      </c>
      <c r="C95" s="101"/>
      <c r="D95" s="101"/>
      <c r="E95" s="101"/>
      <c r="F95" s="102"/>
      <c r="G95" s="103">
        <f>((Analysis!D22-BankRatioAnalysis!J7)-(BankRatioAnalysis!D11-BankRatioAnalysis!J6))/J6</f>
        <v>1.2001070027439822</v>
      </c>
      <c r="H95" s="33"/>
    </row>
    <row r="96" spans="1:8" ht="16">
      <c r="A96" s="29"/>
      <c r="B96" s="97" t="s">
        <v>106</v>
      </c>
      <c r="C96" s="98"/>
      <c r="D96" s="98"/>
      <c r="E96" s="98"/>
      <c r="F96" s="99"/>
      <c r="G96" s="104"/>
      <c r="H96" s="33"/>
    </row>
    <row r="97" spans="1:8" ht="16">
      <c r="A97" s="29"/>
      <c r="B97" s="100" t="s">
        <v>105</v>
      </c>
      <c r="C97" s="101"/>
      <c r="D97" s="101"/>
      <c r="E97" s="101"/>
      <c r="F97" s="102"/>
      <c r="G97" s="103">
        <f>Analysis!D34/((Analysis!C6+Analysis!D6)/2)</f>
        <v>2.5388655393617763E-2</v>
      </c>
      <c r="H97" s="33"/>
    </row>
    <row r="98" spans="1:8" ht="16">
      <c r="A98" s="29"/>
      <c r="B98" s="97" t="s">
        <v>104</v>
      </c>
      <c r="C98" s="98"/>
      <c r="D98" s="98"/>
      <c r="E98" s="98"/>
      <c r="F98" s="99"/>
      <c r="G98" s="105"/>
      <c r="H98" s="57"/>
    </row>
    <row r="99" spans="1:8" ht="16">
      <c r="A99" s="29"/>
      <c r="B99" s="100" t="s">
        <v>103</v>
      </c>
      <c r="C99" s="101"/>
      <c r="D99" s="101"/>
      <c r="E99" s="101"/>
      <c r="F99" s="102"/>
      <c r="G99" s="103">
        <f>(945338+8238+30)/((Analysis!C6+Analysis!D6)/2)</f>
        <v>3.8165224308951344E-3</v>
      </c>
      <c r="H99" s="33"/>
    </row>
    <row r="100" spans="1:8" ht="16">
      <c r="A100" s="29"/>
      <c r="B100" s="97" t="s">
        <v>102</v>
      </c>
      <c r="C100" s="98"/>
      <c r="D100" s="98"/>
      <c r="E100" s="98"/>
      <c r="F100" s="99"/>
      <c r="G100" s="105"/>
      <c r="H100" s="57"/>
    </row>
    <row r="101" spans="1:8" ht="16">
      <c r="A101" s="29"/>
      <c r="B101" s="100" t="s">
        <v>101</v>
      </c>
      <c r="C101" s="101"/>
      <c r="D101" s="101"/>
      <c r="E101" s="101"/>
      <c r="F101" s="102"/>
      <c r="G101" s="103">
        <f>(Analysis!D3+Analysis!D8+Analysis!D9+Analysis!D10)/Analysis!D11</f>
        <v>0.10640869126353723</v>
      </c>
      <c r="H101" s="33"/>
    </row>
    <row r="102" spans="1:8" ht="16">
      <c r="A102" s="29"/>
      <c r="B102" s="97" t="s">
        <v>100</v>
      </c>
      <c r="C102" s="98"/>
      <c r="D102" s="98"/>
      <c r="E102" s="98"/>
      <c r="F102" s="99"/>
      <c r="G102" s="105"/>
      <c r="H102" s="57"/>
    </row>
    <row r="103" spans="1:8" ht="16">
      <c r="A103" s="29"/>
      <c r="B103" s="100" t="s">
        <v>99</v>
      </c>
      <c r="C103" s="101"/>
      <c r="D103" s="101"/>
      <c r="E103" s="101"/>
      <c r="F103" s="102"/>
      <c r="G103" s="106" t="s">
        <v>217</v>
      </c>
      <c r="H103" s="33"/>
    </row>
    <row r="104" spans="1:8" ht="16">
      <c r="A104" s="29"/>
      <c r="B104" s="97" t="s">
        <v>98</v>
      </c>
      <c r="C104" s="98"/>
      <c r="D104" s="98"/>
      <c r="E104" s="98"/>
      <c r="F104" s="99"/>
      <c r="G104" s="107"/>
      <c r="H104" s="57"/>
    </row>
    <row r="105" spans="1:8" ht="16">
      <c r="A105" s="29"/>
      <c r="B105" s="32"/>
      <c r="C105" s="31"/>
      <c r="D105" s="30"/>
      <c r="E105" s="30"/>
      <c r="F105" s="30"/>
      <c r="G105" s="33"/>
      <c r="H105" s="33"/>
    </row>
    <row r="106" spans="1:8" ht="16">
      <c r="A106" s="29"/>
      <c r="B106" s="32"/>
      <c r="C106" s="31"/>
      <c r="D106" s="30"/>
      <c r="E106" s="30"/>
      <c r="F106" s="30"/>
      <c r="G106" s="33"/>
      <c r="H106" s="33"/>
    </row>
    <row r="107" spans="1:8" ht="16">
      <c r="A107" s="29" t="s">
        <v>97</v>
      </c>
      <c r="B107" s="32"/>
      <c r="C107" s="31"/>
      <c r="D107" s="30"/>
      <c r="E107" s="30"/>
      <c r="F107" s="30"/>
      <c r="G107" s="72"/>
      <c r="H107" s="30"/>
    </row>
    <row r="108" spans="1:8" ht="16">
      <c r="A108" s="29"/>
      <c r="B108" s="100" t="s">
        <v>96</v>
      </c>
      <c r="C108" s="101"/>
      <c r="D108" s="101"/>
      <c r="E108" s="101"/>
      <c r="F108" s="102"/>
      <c r="G108" s="103">
        <f>(401605163)/Analysis!D6</f>
        <v>1.5427584706944062</v>
      </c>
      <c r="H108" s="33"/>
    </row>
    <row r="109" spans="1:8" ht="16">
      <c r="A109" s="29"/>
      <c r="B109" s="97" t="s">
        <v>95</v>
      </c>
      <c r="C109" s="98"/>
      <c r="D109" s="98"/>
      <c r="E109" s="98"/>
      <c r="F109" s="99"/>
      <c r="G109" s="104"/>
      <c r="H109" s="33"/>
    </row>
    <row r="110" spans="1:8" ht="16">
      <c r="A110" s="29"/>
      <c r="B110" s="100" t="s">
        <v>94</v>
      </c>
      <c r="C110" s="101"/>
      <c r="D110" s="101"/>
      <c r="E110" s="101"/>
      <c r="F110" s="102"/>
      <c r="G110" s="103">
        <f>(401605163)/Analysis!D11</f>
        <v>0.96449836436533298</v>
      </c>
      <c r="H110" s="33"/>
    </row>
    <row r="111" spans="1:8" ht="16">
      <c r="A111" s="29"/>
      <c r="B111" s="97" t="s">
        <v>93</v>
      </c>
      <c r="C111" s="98"/>
      <c r="D111" s="98"/>
      <c r="E111" s="98"/>
      <c r="F111" s="99"/>
      <c r="G111" s="104"/>
      <c r="H111" s="33"/>
    </row>
    <row r="112" spans="1:8" ht="16">
      <c r="A112" s="29"/>
      <c r="B112" s="100" t="s">
        <v>92</v>
      </c>
      <c r="C112" s="101"/>
      <c r="D112" s="101"/>
      <c r="E112" s="101"/>
      <c r="F112" s="102"/>
      <c r="G112" s="103" t="s">
        <v>217</v>
      </c>
      <c r="H112" s="33"/>
    </row>
    <row r="113" spans="1:8" ht="16">
      <c r="A113" s="29"/>
      <c r="B113" s="97" t="s">
        <v>91</v>
      </c>
      <c r="C113" s="98"/>
      <c r="D113" s="98"/>
      <c r="E113" s="98"/>
      <c r="F113" s="99"/>
      <c r="G113" s="104"/>
      <c r="H113" s="33"/>
    </row>
  </sheetData>
  <mergeCells count="142">
    <mergeCell ref="B3:E3"/>
    <mergeCell ref="G95:G96"/>
    <mergeCell ref="G93:G94"/>
    <mergeCell ref="G10:G11"/>
    <mergeCell ref="G6:G7"/>
    <mergeCell ref="G8:G9"/>
    <mergeCell ref="G16:G17"/>
    <mergeCell ref="G12:G13"/>
    <mergeCell ref="G14:G15"/>
    <mergeCell ref="G68:G69"/>
    <mergeCell ref="G83:G84"/>
    <mergeCell ref="G72:G73"/>
    <mergeCell ref="G59:G60"/>
    <mergeCell ref="G55:G56"/>
    <mergeCell ref="B9:F9"/>
    <mergeCell ref="B10:F10"/>
    <mergeCell ref="B11:F11"/>
    <mergeCell ref="B12:F12"/>
    <mergeCell ref="B6:F6"/>
    <mergeCell ref="B7:F7"/>
    <mergeCell ref="B8:F8"/>
    <mergeCell ref="B17:F17"/>
    <mergeCell ref="G38:G39"/>
    <mergeCell ref="G61:G62"/>
    <mergeCell ref="G18:G19"/>
    <mergeCell ref="G20:G21"/>
    <mergeCell ref="G22:G23"/>
    <mergeCell ref="G45:G46"/>
    <mergeCell ref="G89:G90"/>
    <mergeCell ref="G85:G86"/>
    <mergeCell ref="G49:G50"/>
    <mergeCell ref="G24:G25"/>
    <mergeCell ref="G26:G27"/>
    <mergeCell ref="G30:G31"/>
    <mergeCell ref="G32:G33"/>
    <mergeCell ref="G34:G35"/>
    <mergeCell ref="G36:G37"/>
    <mergeCell ref="G40:G41"/>
    <mergeCell ref="G87:G88"/>
    <mergeCell ref="G51:G52"/>
    <mergeCell ref="G53:G54"/>
    <mergeCell ref="G64:G65"/>
    <mergeCell ref="G66:G67"/>
    <mergeCell ref="G47:G48"/>
    <mergeCell ref="G28:G29"/>
    <mergeCell ref="G74:G75"/>
    <mergeCell ref="G76:G77"/>
    <mergeCell ref="B18:F18"/>
    <mergeCell ref="B19:F19"/>
    <mergeCell ref="B20:F20"/>
    <mergeCell ref="B13:F13"/>
    <mergeCell ref="B14:F14"/>
    <mergeCell ref="B15:F15"/>
    <mergeCell ref="B16:F16"/>
    <mergeCell ref="B25:F25"/>
    <mergeCell ref="B26:F26"/>
    <mergeCell ref="B27:F27"/>
    <mergeCell ref="B28:F28"/>
    <mergeCell ref="B21:F21"/>
    <mergeCell ref="B22:F22"/>
    <mergeCell ref="B23:F23"/>
    <mergeCell ref="B24:F24"/>
    <mergeCell ref="B33:F33"/>
    <mergeCell ref="B34:F34"/>
    <mergeCell ref="B35:F35"/>
    <mergeCell ref="B36:F36"/>
    <mergeCell ref="B29:F29"/>
    <mergeCell ref="B30:F30"/>
    <mergeCell ref="B31:F31"/>
    <mergeCell ref="B32:F32"/>
    <mergeCell ref="B41:F41"/>
    <mergeCell ref="B45:F45"/>
    <mergeCell ref="B46:F46"/>
    <mergeCell ref="B47:F47"/>
    <mergeCell ref="B37:F37"/>
    <mergeCell ref="B38:F38"/>
    <mergeCell ref="B39:F39"/>
    <mergeCell ref="B40:F40"/>
    <mergeCell ref="B59:F59"/>
    <mergeCell ref="B60:F60"/>
    <mergeCell ref="B48:F48"/>
    <mergeCell ref="B50:F50"/>
    <mergeCell ref="B51:F51"/>
    <mergeCell ref="B52:F52"/>
    <mergeCell ref="B56:F56"/>
    <mergeCell ref="G57:G58"/>
    <mergeCell ref="B58:F58"/>
    <mergeCell ref="B53:F53"/>
    <mergeCell ref="B54:F54"/>
    <mergeCell ref="B55:F55"/>
    <mergeCell ref="B69:F69"/>
    <mergeCell ref="B70:F70"/>
    <mergeCell ref="B71:F71"/>
    <mergeCell ref="G70:G71"/>
    <mergeCell ref="B62:F62"/>
    <mergeCell ref="B61:F61"/>
    <mergeCell ref="B66:F66"/>
    <mergeCell ref="B67:F67"/>
    <mergeCell ref="B68:F68"/>
    <mergeCell ref="G78:G79"/>
    <mergeCell ref="B73:F73"/>
    <mergeCell ref="B74:F74"/>
    <mergeCell ref="B75:F75"/>
    <mergeCell ref="B76:F76"/>
    <mergeCell ref="B77:F77"/>
    <mergeCell ref="B79:F79"/>
    <mergeCell ref="B87:F87"/>
    <mergeCell ref="B88:F88"/>
    <mergeCell ref="B89:F89"/>
    <mergeCell ref="B90:F90"/>
    <mergeCell ref="B83:F83"/>
    <mergeCell ref="B84:F84"/>
    <mergeCell ref="B85:F85"/>
    <mergeCell ref="B86:F86"/>
    <mergeCell ref="B95:F95"/>
    <mergeCell ref="B96:F96"/>
    <mergeCell ref="B97:F97"/>
    <mergeCell ref="B98:F98"/>
    <mergeCell ref="B91:F91"/>
    <mergeCell ref="B92:F92"/>
    <mergeCell ref="B93:F93"/>
    <mergeCell ref="B94:F94"/>
    <mergeCell ref="B103:F103"/>
    <mergeCell ref="B104:F104"/>
    <mergeCell ref="G97:G98"/>
    <mergeCell ref="G99:G100"/>
    <mergeCell ref="G101:G102"/>
    <mergeCell ref="G103:G104"/>
    <mergeCell ref="B99:F99"/>
    <mergeCell ref="B100:F100"/>
    <mergeCell ref="B101:F101"/>
    <mergeCell ref="B102:F102"/>
    <mergeCell ref="G91:G92"/>
    <mergeCell ref="B113:F113"/>
    <mergeCell ref="B108:F108"/>
    <mergeCell ref="B110:F110"/>
    <mergeCell ref="B112:F112"/>
    <mergeCell ref="B109:F109"/>
    <mergeCell ref="B111:F111"/>
    <mergeCell ref="G112:G113"/>
    <mergeCell ref="G108:G109"/>
    <mergeCell ref="G110:G111"/>
  </mergeCells>
  <pageMargins left="0.25" right="0.25" top="0.75" bottom="0.75" header="0.3" footer="0.3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ABA12-4608-4248-AEAD-CD77A45E9C7F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BankRatioAnalysis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Kaan Senver</cp:lastModifiedBy>
  <cp:lastPrinted>2019-12-19T20:30:56Z</cp:lastPrinted>
  <dcterms:created xsi:type="dcterms:W3CDTF">2019-12-10T21:30:33Z</dcterms:created>
  <dcterms:modified xsi:type="dcterms:W3CDTF">2019-12-22T06:47:58Z</dcterms:modified>
</cp:coreProperties>
</file>